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tables/table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tables/table5.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T:\FNEEQ_General\COMITÉS FÉDÉRAUX\CFARR\Guides de retraite\2024\"/>
    </mc:Choice>
  </mc:AlternateContent>
  <xr:revisionPtr revIDLastSave="0" documentId="13_ncr:1_{A6CBF52B-B612-4175-B510-BAF328A6FD9A}" xr6:coauthVersionLast="47" xr6:coauthVersionMax="47" xr10:uidLastSave="{00000000-0000-0000-0000-000000000000}"/>
  <bookViews>
    <workbookView xWindow="-132" yWindow="-132" windowWidth="23304" windowHeight="12504" tabRatio="777" xr2:uid="{00000000-000D-0000-FFFF-FFFF00000000}"/>
  </bookViews>
  <sheets>
    <sheet name="Utilisation" sheetId="8" r:id="rId1"/>
    <sheet name="RREGOP" sheetId="1" r:id="rId2"/>
    <sheet name="RRQ" sheetId="7" r:id="rId3"/>
    <sheet name="PSV" sheetId="15" r:id="rId4"/>
    <sheet name="Support" sheetId="4" state="hidden" r:id="rId5"/>
    <sheet name="PP" sheetId="13" state="hidden" r:id="rId6"/>
    <sheet name="PP_Anglais" sheetId="14" state="hidden" r:id="rId7"/>
    <sheet name="Indexation" sheetId="9" state="hidden" r:id="rId8"/>
  </sheets>
  <definedNames>
    <definedName name="_35__du_MGA">PP!$V$12</definedName>
    <definedName name="Admissibilite">RREGOP!$D$18</definedName>
    <definedName name="Admissible_Oui_ou_Non">RREGOP!$I$42</definedName>
    <definedName name="Age_Ret">RREGOP!$D$43</definedName>
    <definedName name="Année">PP!$F$1</definedName>
    <definedName name="Critère_retenu">RREGOP!$I$47</definedName>
    <definedName name="Date_dernier">RREGOP!$D$6</definedName>
    <definedName name="Date_Naissance">RREGOP!$D$9</definedName>
    <definedName name="Date_retraite">RREGOP!$D$5</definedName>
    <definedName name="Date_salaire_colonne">Support!$B$3:$Y$4</definedName>
    <definedName name="Echelon">RREGOP!#REF!</definedName>
    <definedName name="Estimation">RREGOP!$D$32</definedName>
    <definedName name="Estimation_sans_réduction">RREGOP!$D$24</definedName>
    <definedName name="Exemption">PP!$V$13</definedName>
    <definedName name="Facteur_de_réduction">PP!$V$15</definedName>
    <definedName name="MGA">PP!$E$4</definedName>
    <definedName name="Moyenne_automatique">RREGOP!$S$32</definedName>
    <definedName name="Moyenne_manuelle">RREGOP!$N$22</definedName>
    <definedName name="Moyenne_salariale">RREGOP!$D$22</definedName>
    <definedName name="Naissance">RREGOP!$D$9</definedName>
    <definedName name="Reduction">RREGOP!$D$28</definedName>
    <definedName name="Reduction_en_dollars">RREGOP!$D$30</definedName>
    <definedName name="Salaire_10_20">Support!$B$5:$Y$24</definedName>
    <definedName name="Service">PP!$Y$8</definedName>
    <definedName name="Services_calcul">RREGOP!$D$19</definedName>
    <definedName name="TAIR">Indexation!$F$20</definedName>
    <definedName name="Taux_de_cotisation">PP!$V$14</definedName>
    <definedName name="XFD1058346">#REF!</definedName>
    <definedName name="XFD1105985">#REF!</definedName>
    <definedName name="XFD2058346">#REF!</definedName>
    <definedName name="_xlnm.Print_Area" localSheetId="3">PSV!$B$2:$N$23</definedName>
    <definedName name="_xlnm.Print_Area" localSheetId="1">RREGOP!$B$2:$T$52</definedName>
    <definedName name="_xlnm.Print_Area" localSheetId="2">RRQ!$B$2:$S$71</definedName>
    <definedName name="_xlnm.Print_Area" localSheetId="0">Utilisation!$B$2:$D$20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 l="1"/>
  <c r="L27" i="1"/>
  <c r="L28" i="1"/>
  <c r="L29" i="1"/>
  <c r="L30" i="1"/>
  <c r="L31" i="1"/>
  <c r="L26" i="1"/>
  <c r="M16" i="7"/>
  <c r="M38" i="7"/>
  <c r="C12" i="15"/>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12" i="7"/>
  <c r="E12"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I12" i="7"/>
  <c r="K12" i="7" s="1"/>
  <c r="I18" i="7"/>
  <c r="K18" i="7" s="1"/>
  <c r="I19" i="7"/>
  <c r="K19" i="7" s="1"/>
  <c r="I20" i="7"/>
  <c r="K20" i="7" s="1"/>
  <c r="I21" i="7"/>
  <c r="K21" i="7" s="1"/>
  <c r="I22" i="7"/>
  <c r="K22" i="7" s="1"/>
  <c r="I23" i="7"/>
  <c r="K23" i="7" s="1"/>
  <c r="I24" i="7"/>
  <c r="K24" i="7" s="1"/>
  <c r="I25" i="7"/>
  <c r="K25" i="7" s="1"/>
  <c r="I26" i="7"/>
  <c r="K26" i="7" s="1"/>
  <c r="I27" i="7"/>
  <c r="K27" i="7" s="1"/>
  <c r="I28" i="7"/>
  <c r="K28" i="7" s="1"/>
  <c r="I29" i="7"/>
  <c r="K29" i="7" s="1"/>
  <c r="I30" i="7"/>
  <c r="K30" i="7" s="1"/>
  <c r="I31" i="7"/>
  <c r="K31" i="7" s="1"/>
  <c r="I32" i="7"/>
  <c r="K32" i="7" s="1"/>
  <c r="I33" i="7"/>
  <c r="K33" i="7" s="1"/>
  <c r="I34" i="7"/>
  <c r="K34" i="7" s="1"/>
  <c r="I35" i="7"/>
  <c r="K35" i="7" s="1"/>
  <c r="I36" i="7"/>
  <c r="K36" i="7" s="1"/>
  <c r="I37" i="7"/>
  <c r="K37" i="7" s="1"/>
  <c r="I38" i="7"/>
  <c r="K38" i="7" s="1"/>
  <c r="I39" i="7"/>
  <c r="K39" i="7" s="1"/>
  <c r="I40" i="7"/>
  <c r="K40" i="7" s="1"/>
  <c r="I41" i="7"/>
  <c r="K41" i="7" s="1"/>
  <c r="I42" i="7"/>
  <c r="K42" i="7" s="1"/>
  <c r="I43" i="7"/>
  <c r="K43" i="7" s="1"/>
  <c r="I44" i="7"/>
  <c r="K44" i="7" s="1"/>
  <c r="I45" i="7"/>
  <c r="K45" i="7" s="1"/>
  <c r="I46" i="7"/>
  <c r="K46" i="7" s="1"/>
  <c r="I47" i="7"/>
  <c r="K47" i="7" s="1"/>
  <c r="I48" i="7"/>
  <c r="K48" i="7" s="1"/>
  <c r="I49" i="7"/>
  <c r="K49" i="7" s="1"/>
  <c r="I50" i="7"/>
  <c r="K50" i="7" s="1"/>
  <c r="I51" i="7"/>
  <c r="K51" i="7" s="1"/>
  <c r="I52" i="7"/>
  <c r="K52" i="7" s="1"/>
  <c r="I53" i="7"/>
  <c r="K53" i="7" s="1"/>
  <c r="I54" i="7"/>
  <c r="K54" i="7" s="1"/>
  <c r="I55" i="7"/>
  <c r="K55" i="7" s="1"/>
  <c r="I56" i="7"/>
  <c r="K56" i="7" s="1"/>
  <c r="I57" i="7"/>
  <c r="K57" i="7" s="1"/>
  <c r="I58" i="7"/>
  <c r="K58" i="7" s="1"/>
  <c r="I59" i="7"/>
  <c r="K59" i="7" s="1"/>
  <c r="I60" i="7"/>
  <c r="K60" i="7" s="1"/>
  <c r="I61" i="7"/>
  <c r="K61" i="7" s="1"/>
  <c r="I62" i="7"/>
  <c r="K62" i="7" s="1"/>
  <c r="I63" i="7"/>
  <c r="K63" i="7" s="1"/>
  <c r="I64" i="7"/>
  <c r="K64" i="7" s="1"/>
  <c r="I65" i="7"/>
  <c r="K65" i="7" s="1"/>
  <c r="I66" i="7"/>
  <c r="K66" i="7" s="1"/>
  <c r="I67" i="7"/>
  <c r="K67" i="7" s="1"/>
  <c r="I68" i="7"/>
  <c r="K68" i="7" s="1"/>
  <c r="I69" i="7"/>
  <c r="K69" i="7" s="1"/>
  <c r="I70" i="7"/>
  <c r="K70" i="7" s="1"/>
  <c r="M26" i="1" l="1"/>
  <c r="D46" i="1"/>
  <c r="Q31" i="1"/>
  <c r="M30" i="1"/>
  <c r="M29" i="1"/>
  <c r="M28" i="1"/>
  <c r="M27" i="1"/>
  <c r="M31" i="1"/>
  <c r="M13" i="7"/>
  <c r="M34" i="7"/>
  <c r="M31" i="7"/>
  <c r="D19" i="1"/>
  <c r="D18" i="1"/>
  <c r="C10" i="15"/>
  <c r="C14" i="15"/>
  <c r="E5" i="1" l="1"/>
  <c r="AQ40" i="14"/>
  <c r="AP40" i="14"/>
  <c r="AO40" i="14"/>
  <c r="AN40" i="14"/>
  <c r="AM40" i="14"/>
  <c r="AL40" i="14"/>
  <c r="AK40" i="14"/>
  <c r="AQ39" i="14"/>
  <c r="AP39" i="14"/>
  <c r="AO39" i="14"/>
  <c r="AN39" i="14"/>
  <c r="AM39" i="14"/>
  <c r="AL39" i="14"/>
  <c r="AK39" i="14"/>
  <c r="AQ38" i="14"/>
  <c r="AP38" i="14"/>
  <c r="AO38" i="14"/>
  <c r="AN38" i="14"/>
  <c r="AM38" i="14"/>
  <c r="AL38" i="14"/>
  <c r="AK38" i="14"/>
  <c r="AQ37" i="14"/>
  <c r="AP37" i="14"/>
  <c r="AO37" i="14"/>
  <c r="AN37" i="14"/>
  <c r="AM37" i="14"/>
  <c r="AL37" i="14"/>
  <c r="AK37" i="14"/>
  <c r="AM9" i="14"/>
  <c r="AL9" i="14"/>
  <c r="AK9" i="14"/>
  <c r="AL8" i="14"/>
  <c r="AK8" i="14"/>
  <c r="AN28" i="14"/>
  <c r="AM28" i="14"/>
  <c r="AL28" i="14"/>
  <c r="AK28" i="14"/>
  <c r="AN27" i="14"/>
  <c r="AM27" i="14"/>
  <c r="AL27" i="14"/>
  <c r="AK27" i="14"/>
  <c r="AN26" i="14"/>
  <c r="AM26" i="14"/>
  <c r="AL26" i="14"/>
  <c r="AK26" i="14"/>
  <c r="AN25" i="14"/>
  <c r="AM25" i="14"/>
  <c r="AL25" i="14"/>
  <c r="AK25" i="14"/>
  <c r="AN24" i="14"/>
  <c r="AM24" i="14"/>
  <c r="AL24" i="14"/>
  <c r="AK24" i="14"/>
  <c r="AN23" i="14"/>
  <c r="AM23" i="14"/>
  <c r="AL23" i="14"/>
  <c r="AK23" i="14"/>
  <c r="AN22" i="14"/>
  <c r="AM22" i="14"/>
  <c r="AL22" i="14"/>
  <c r="AK22" i="14"/>
  <c r="AN21" i="14"/>
  <c r="AM21" i="14"/>
  <c r="AL21" i="14"/>
  <c r="AK21" i="14"/>
  <c r="AN20" i="14"/>
  <c r="AM20" i="14"/>
  <c r="AL20" i="14"/>
  <c r="AK20" i="14"/>
  <c r="AN19" i="14"/>
  <c r="AM19" i="14"/>
  <c r="AL19" i="14"/>
  <c r="AK19" i="14"/>
  <c r="AN18" i="14"/>
  <c r="AM18" i="14"/>
  <c r="AL18" i="14"/>
  <c r="AK18" i="14"/>
  <c r="AN17" i="14"/>
  <c r="AM17" i="14"/>
  <c r="AL17" i="14"/>
  <c r="AK17" i="14"/>
  <c r="AN16" i="14"/>
  <c r="AM16" i="14"/>
  <c r="AL16" i="14"/>
  <c r="AK16" i="14"/>
  <c r="AN15" i="14"/>
  <c r="AM15" i="14"/>
  <c r="AL15" i="14"/>
  <c r="AK15" i="14"/>
  <c r="AN14" i="14"/>
  <c r="AM14" i="14"/>
  <c r="AL14" i="14"/>
  <c r="AK14" i="14"/>
  <c r="X31" i="14"/>
  <c r="Y30" i="14"/>
  <c r="X30" i="14"/>
  <c r="Y29" i="14"/>
  <c r="X29" i="14"/>
  <c r="Y28" i="14"/>
  <c r="X28" i="14"/>
  <c r="Y27" i="14"/>
  <c r="X27" i="14"/>
  <c r="Y26" i="14"/>
  <c r="X26" i="14"/>
  <c r="Y25" i="14"/>
  <c r="X25" i="14"/>
  <c r="Y24" i="14"/>
  <c r="X24" i="14"/>
  <c r="Y23" i="14"/>
  <c r="X23" i="14"/>
  <c r="Y22" i="14"/>
  <c r="X22" i="14"/>
  <c r="Y21" i="14"/>
  <c r="X21" i="14"/>
  <c r="Y20" i="14"/>
  <c r="X20" i="14"/>
  <c r="Y19" i="14"/>
  <c r="X19" i="14"/>
  <c r="Y18" i="14"/>
  <c r="X18" i="14"/>
  <c r="Y17" i="14"/>
  <c r="X17" i="14"/>
  <c r="Y16" i="14"/>
  <c r="X16" i="14"/>
  <c r="Y15" i="14"/>
  <c r="X15" i="14"/>
  <c r="Y14" i="14"/>
  <c r="X14" i="14"/>
  <c r="Y13" i="14"/>
  <c r="X13" i="14"/>
  <c r="Y12" i="14"/>
  <c r="X12" i="14"/>
  <c r="Y11" i="14"/>
  <c r="X11" i="14"/>
  <c r="V17" i="14"/>
  <c r="V16" i="14"/>
  <c r="V15" i="14"/>
  <c r="V14" i="14"/>
  <c r="U17" i="14"/>
  <c r="U16" i="14"/>
  <c r="U15" i="14"/>
  <c r="U14" i="14"/>
  <c r="U13" i="14"/>
  <c r="U12" i="14"/>
  <c r="U11" i="14"/>
  <c r="U10" i="14"/>
  <c r="H14" i="7"/>
  <c r="Z30" i="13"/>
  <c r="Z30" i="14" s="1"/>
  <c r="Z29" i="13"/>
  <c r="Z29" i="14" s="1"/>
  <c r="Z28" i="13"/>
  <c r="Z28" i="14" s="1"/>
  <c r="Z27" i="13"/>
  <c r="Z27" i="14" s="1"/>
  <c r="Z26" i="13"/>
  <c r="Z26" i="14" s="1"/>
  <c r="Z25" i="13"/>
  <c r="Z25" i="14" s="1"/>
  <c r="Z24" i="13"/>
  <c r="Z24" i="14" s="1"/>
  <c r="Z23" i="13"/>
  <c r="Z23" i="14" s="1"/>
  <c r="Z22" i="13"/>
  <c r="Z22" i="14" s="1"/>
  <c r="Z21" i="13"/>
  <c r="Z21" i="14" s="1"/>
  <c r="Z20" i="13"/>
  <c r="Z20" i="14" s="1"/>
  <c r="Z19" i="13"/>
  <c r="Z19" i="14" s="1"/>
  <c r="Z18" i="13"/>
  <c r="Z18" i="14" s="1"/>
  <c r="Z17" i="13"/>
  <c r="Z17" i="14" s="1"/>
  <c r="Z16" i="13"/>
  <c r="Z16" i="14" s="1"/>
  <c r="Z15" i="13"/>
  <c r="Z15" i="14" s="1"/>
  <c r="Z14" i="13"/>
  <c r="Z14" i="14" s="1"/>
  <c r="Z13" i="13"/>
  <c r="Z13" i="14" s="1"/>
  <c r="Z12" i="13"/>
  <c r="Z12" i="14" s="1"/>
  <c r="Z11" i="13"/>
  <c r="Z11" i="14" s="1"/>
  <c r="I14" i="7" l="1"/>
  <c r="K14" i="7" s="1"/>
  <c r="E14" i="7"/>
  <c r="V13" i="13"/>
  <c r="V13" i="14" s="1"/>
  <c r="X86" i="13"/>
  <c r="W86" i="13"/>
  <c r="E36" i="13"/>
  <c r="AN33" i="13"/>
  <c r="AM33" i="13"/>
  <c r="AL33" i="13"/>
  <c r="AK33" i="13"/>
  <c r="AO32" i="13"/>
  <c r="AO31" i="13"/>
  <c r="AO30" i="13"/>
  <c r="AO29" i="13"/>
  <c r="AO28" i="13"/>
  <c r="AO27" i="13"/>
  <c r="AO26" i="13"/>
  <c r="AO25" i="13"/>
  <c r="AO24" i="13"/>
  <c r="AO23" i="13"/>
  <c r="AO22" i="13"/>
  <c r="AO21" i="13"/>
  <c r="AO20" i="13"/>
  <c r="AO19" i="13"/>
  <c r="AO18" i="13"/>
  <c r="AN12" i="13"/>
  <c r="AN29" i="14"/>
  <c r="AM29" i="14"/>
  <c r="AL29" i="14"/>
  <c r="AK29" i="14"/>
  <c r="AO28" i="14"/>
  <c r="AO27" i="14"/>
  <c r="AO26" i="14"/>
  <c r="AO25" i="14"/>
  <c r="AO24" i="14"/>
  <c r="AO23" i="14"/>
  <c r="AO22" i="14"/>
  <c r="AO21" i="14"/>
  <c r="AO20" i="14"/>
  <c r="AO19" i="14"/>
  <c r="AO18" i="14"/>
  <c r="AO17" i="14"/>
  <c r="AO16" i="14"/>
  <c r="AO15" i="14"/>
  <c r="AO14" i="14"/>
  <c r="AO29" i="14" l="1"/>
  <c r="AO33" i="13"/>
  <c r="AM12" i="13"/>
  <c r="AM8" i="14" s="1"/>
  <c r="H13" i="7" l="1"/>
  <c r="E13" i="7" s="1"/>
  <c r="N120" i="14"/>
  <c r="N121" i="14" s="1"/>
  <c r="N122" i="14" s="1"/>
  <c r="N123" i="14" s="1"/>
  <c r="N124" i="14" s="1"/>
  <c r="N125" i="14" s="1"/>
  <c r="N126" i="14" s="1"/>
  <c r="N127" i="14" s="1"/>
  <c r="N128" i="14" s="1"/>
  <c r="N129" i="14" s="1"/>
  <c r="N130" i="14" s="1"/>
  <c r="N131" i="14" s="1"/>
  <c r="N132" i="14" s="1"/>
  <c r="N133" i="14" s="1"/>
  <c r="N134" i="14" s="1"/>
  <c r="N135" i="14" s="1"/>
  <c r="N136" i="14" s="1"/>
  <c r="N137" i="14" s="1"/>
  <c r="N138" i="14" s="1"/>
  <c r="N139" i="14" s="1"/>
  <c r="N140" i="14" s="1"/>
  <c r="N141" i="14" s="1"/>
  <c r="N142" i="14" s="1"/>
  <c r="N143" i="14" s="1"/>
  <c r="N144" i="14" s="1"/>
  <c r="N145" i="14" s="1"/>
  <c r="N146" i="14" s="1"/>
  <c r="N147" i="14" s="1"/>
  <c r="N148" i="14" s="1"/>
  <c r="N149" i="14" s="1"/>
  <c r="N150" i="14" s="1"/>
  <c r="N151" i="14" s="1"/>
  <c r="N152" i="14" s="1"/>
  <c r="N153" i="14" s="1"/>
  <c r="N154" i="14" s="1"/>
  <c r="N155" i="14" s="1"/>
  <c r="N156" i="14" s="1"/>
  <c r="N157" i="14" s="1"/>
  <c r="N158" i="14" s="1"/>
  <c r="N159" i="14" s="1"/>
  <c r="N160" i="14" s="1"/>
  <c r="N161" i="14" s="1"/>
  <c r="N116" i="14"/>
  <c r="N117" i="14" s="1"/>
  <c r="N118" i="14" s="1"/>
  <c r="Q114" i="14"/>
  <c r="L51" i="14"/>
  <c r="L52" i="14" s="1"/>
  <c r="L53" i="14" s="1"/>
  <c r="L54" i="14" s="1"/>
  <c r="L55" i="14" s="1"/>
  <c r="L56" i="14" s="1"/>
  <c r="L57" i="14" s="1"/>
  <c r="L58" i="14" s="1"/>
  <c r="L59" i="14" s="1"/>
  <c r="L60" i="14" s="1"/>
  <c r="L61" i="14" s="1"/>
  <c r="L62" i="14" s="1"/>
  <c r="L63" i="14" s="1"/>
  <c r="L64" i="14" s="1"/>
  <c r="L65" i="14" s="1"/>
  <c r="L66" i="14" s="1"/>
  <c r="L67" i="14" s="1"/>
  <c r="L68" i="14" s="1"/>
  <c r="L69" i="14" s="1"/>
  <c r="L70" i="14" s="1"/>
  <c r="L71" i="14" s="1"/>
  <c r="E41" i="14"/>
  <c r="E45" i="14" s="1"/>
  <c r="E27" i="14"/>
  <c r="E29" i="14" s="1"/>
  <c r="E31" i="14" s="1"/>
  <c r="I26" i="14"/>
  <c r="I25" i="14"/>
  <c r="E22" i="14"/>
  <c r="I21" i="14"/>
  <c r="E19" i="14"/>
  <c r="E14" i="14"/>
  <c r="P8" i="14"/>
  <c r="O8" i="14"/>
  <c r="N8" i="14"/>
  <c r="M8" i="14"/>
  <c r="L8" i="14"/>
  <c r="H6" i="14"/>
  <c r="H21" i="14" s="1"/>
  <c r="E5" i="14"/>
  <c r="E6" i="14" s="1"/>
  <c r="E8" i="14" s="1"/>
  <c r="E9" i="14" s="1"/>
  <c r="I13" i="7" l="1"/>
  <c r="E23" i="14"/>
  <c r="H15" i="13"/>
  <c r="K13" i="7" l="1"/>
  <c r="I15" i="13"/>
  <c r="E27" i="13"/>
  <c r="I6" i="13"/>
  <c r="V11" i="13"/>
  <c r="V33" i="14"/>
  <c r="V12" i="13" l="1"/>
  <c r="AB19" i="13" s="1"/>
  <c r="AB19" i="14" s="1"/>
  <c r="V11" i="14"/>
  <c r="G8" i="9"/>
  <c r="G9" i="9"/>
  <c r="H9" i="9" s="1"/>
  <c r="G10" i="9"/>
  <c r="H10" i="9" s="1"/>
  <c r="I10" i="9" s="1"/>
  <c r="J10" i="9" s="1"/>
  <c r="K10" i="9" s="1"/>
  <c r="L10" i="9" s="1"/>
  <c r="F11" i="9"/>
  <c r="J14" i="9"/>
  <c r="AA15" i="13" l="1"/>
  <c r="AA15" i="14" s="1"/>
  <c r="AB20" i="13"/>
  <c r="AB20" i="14" s="1"/>
  <c r="V12" i="14"/>
  <c r="AB11" i="13"/>
  <c r="AB21" i="13"/>
  <c r="AB21" i="14" s="1"/>
  <c r="AA24" i="13"/>
  <c r="AA24" i="14" s="1"/>
  <c r="AB27" i="13"/>
  <c r="AB27" i="14" s="1"/>
  <c r="AA17" i="13"/>
  <c r="AA17" i="14" s="1"/>
  <c r="AA27" i="13"/>
  <c r="AA27" i="14" s="1"/>
  <c r="AA26" i="13"/>
  <c r="AA26" i="14" s="1"/>
  <c r="AB14" i="13"/>
  <c r="AB14" i="14" s="1"/>
  <c r="AB25" i="13"/>
  <c r="AB25" i="14" s="1"/>
  <c r="AA29" i="13"/>
  <c r="AA29" i="14" s="1"/>
  <c r="AA22" i="13"/>
  <c r="AA22" i="14" s="1"/>
  <c r="AA20" i="13"/>
  <c r="AA20" i="14" s="1"/>
  <c r="AB17" i="13"/>
  <c r="AB17" i="14" s="1"/>
  <c r="AA16" i="13"/>
  <c r="AA16" i="14" s="1"/>
  <c r="AA25" i="13"/>
  <c r="AA25" i="14" s="1"/>
  <c r="AA13" i="13"/>
  <c r="AA13" i="14" s="1"/>
  <c r="AB28" i="13"/>
  <c r="AB28" i="14" s="1"/>
  <c r="AB12" i="13"/>
  <c r="AB12" i="14" s="1"/>
  <c r="AA19" i="13"/>
  <c r="AA19" i="14" s="1"/>
  <c r="AA18" i="13"/>
  <c r="AA18" i="14" s="1"/>
  <c r="AB30" i="13"/>
  <c r="AB30" i="14" s="1"/>
  <c r="AB26" i="13"/>
  <c r="AB26" i="14" s="1"/>
  <c r="AB22" i="13"/>
  <c r="AB22" i="14" s="1"/>
  <c r="AA14" i="13"/>
  <c r="AA14" i="14" s="1"/>
  <c r="AB15" i="13"/>
  <c r="AB15" i="14" s="1"/>
  <c r="AA28" i="13"/>
  <c r="AA28" i="14" s="1"/>
  <c r="AA11" i="13"/>
  <c r="AA11" i="14" s="1"/>
  <c r="AB24" i="13"/>
  <c r="AB24" i="14" s="1"/>
  <c r="AA23" i="13"/>
  <c r="AA23" i="14" s="1"/>
  <c r="AB16" i="13"/>
  <c r="AB16" i="14" s="1"/>
  <c r="AA12" i="13"/>
  <c r="AA12" i="14" s="1"/>
  <c r="AA21" i="13"/>
  <c r="AA21" i="14" s="1"/>
  <c r="AA30" i="13"/>
  <c r="AA30" i="14" s="1"/>
  <c r="AB18" i="13"/>
  <c r="AB18" i="14" s="1"/>
  <c r="AB13" i="13"/>
  <c r="AB13" i="14" s="1"/>
  <c r="AB23" i="13"/>
  <c r="AB23" i="14" s="1"/>
  <c r="AB29" i="13"/>
  <c r="AB29" i="14" s="1"/>
  <c r="G11" i="9"/>
  <c r="H11" i="9" s="1"/>
  <c r="H8" i="9"/>
  <c r="I8" i="9" s="1"/>
  <c r="J8" i="9" s="1"/>
  <c r="K8" i="9" s="1"/>
  <c r="L8" i="9" s="1"/>
  <c r="K9" i="9"/>
  <c r="J9" i="9"/>
  <c r="I9" i="9"/>
  <c r="L9" i="9"/>
  <c r="AC19" i="13" l="1"/>
  <c r="AD19" i="13" s="1"/>
  <c r="AD19" i="14" s="1"/>
  <c r="AC11" i="13"/>
  <c r="AC11" i="14" s="1"/>
  <c r="AB11" i="14"/>
  <c r="AC12" i="13"/>
  <c r="AC12" i="14" s="1"/>
  <c r="AC14" i="13"/>
  <c r="AD14" i="13" s="1"/>
  <c r="AD14" i="14" s="1"/>
  <c r="AC17" i="13"/>
  <c r="AC17" i="14" s="1"/>
  <c r="AC25" i="13"/>
  <c r="AC25" i="14" s="1"/>
  <c r="AC20" i="13"/>
  <c r="AD20" i="13" s="1"/>
  <c r="AD20" i="14" s="1"/>
  <c r="AC26" i="13"/>
  <c r="AC26" i="14" s="1"/>
  <c r="AC30" i="13"/>
  <c r="AD30" i="13" s="1"/>
  <c r="AD30" i="14" s="1"/>
  <c r="AC27" i="13"/>
  <c r="AC27" i="14" s="1"/>
  <c r="AC29" i="13"/>
  <c r="AC29" i="14" s="1"/>
  <c r="AC15" i="13"/>
  <c r="AD15" i="13" s="1"/>
  <c r="AD15" i="14" s="1"/>
  <c r="AC23" i="13"/>
  <c r="AC23" i="14" s="1"/>
  <c r="AC13" i="13"/>
  <c r="AC16" i="13"/>
  <c r="AC21" i="13"/>
  <c r="AC18" i="13"/>
  <c r="AC24" i="13"/>
  <c r="AC28" i="13"/>
  <c r="AC22" i="13"/>
  <c r="I11" i="9"/>
  <c r="J11" i="9"/>
  <c r="AD17" i="13" l="1"/>
  <c r="AD17" i="14" s="1"/>
  <c r="AD11" i="13"/>
  <c r="AD11" i="14" s="1"/>
  <c r="AD25" i="13"/>
  <c r="AD25" i="14" s="1"/>
  <c r="AC30" i="14"/>
  <c r="AC19" i="14"/>
  <c r="AC14" i="14"/>
  <c r="AD29" i="13"/>
  <c r="AD29" i="14" s="1"/>
  <c r="AD12" i="13"/>
  <c r="AD12" i="14" s="1"/>
  <c r="AD27" i="13"/>
  <c r="AD27" i="14" s="1"/>
  <c r="AD23" i="13"/>
  <c r="AD23" i="14" s="1"/>
  <c r="AC15" i="14"/>
  <c r="AD26" i="13"/>
  <c r="AD26" i="14" s="1"/>
  <c r="AC20" i="14"/>
  <c r="AD28" i="13"/>
  <c r="AD28" i="14" s="1"/>
  <c r="AC28" i="14"/>
  <c r="AD21" i="13"/>
  <c r="AD21" i="14" s="1"/>
  <c r="AC21" i="14"/>
  <c r="AD18" i="13"/>
  <c r="AD18" i="14" s="1"/>
  <c r="AC18" i="14"/>
  <c r="AD16" i="13"/>
  <c r="AD16" i="14" s="1"/>
  <c r="AC16" i="14"/>
  <c r="AD22" i="13"/>
  <c r="AD22" i="14" s="1"/>
  <c r="AC22" i="14"/>
  <c r="AD13" i="13"/>
  <c r="AD13" i="14" s="1"/>
  <c r="AC13" i="14"/>
  <c r="AD24" i="13"/>
  <c r="AD24" i="14" s="1"/>
  <c r="AC24" i="14"/>
  <c r="K11" i="9"/>
  <c r="L11" i="9"/>
  <c r="J13" i="9" s="1"/>
  <c r="I17" i="13" l="1"/>
  <c r="M16" i="13" s="1"/>
  <c r="I16" i="13"/>
  <c r="L16" i="13" s="1"/>
  <c r="I8" i="13"/>
  <c r="I10" i="13" s="1"/>
  <c r="E41" i="13"/>
  <c r="L17" i="13" l="1"/>
  <c r="L27" i="14" s="1"/>
  <c r="L26" i="14"/>
  <c r="M17" i="13"/>
  <c r="M27" i="14" s="1"/>
  <c r="M26" i="14"/>
  <c r="H15" i="7"/>
  <c r="E15" i="7" s="1"/>
  <c r="I15" i="7" l="1"/>
  <c r="N122" i="13"/>
  <c r="N123" i="13" s="1"/>
  <c r="N124" i="13" s="1"/>
  <c r="N125" i="13" s="1"/>
  <c r="N126" i="13" s="1"/>
  <c r="N127" i="13" s="1"/>
  <c r="N128" i="13" s="1"/>
  <c r="N129" i="13" s="1"/>
  <c r="N130" i="13" s="1"/>
  <c r="N131" i="13" s="1"/>
  <c r="N132" i="13" s="1"/>
  <c r="N133" i="13" s="1"/>
  <c r="N134" i="13" s="1"/>
  <c r="N135" i="13" s="1"/>
  <c r="N136" i="13" s="1"/>
  <c r="N137" i="13" s="1"/>
  <c r="N138" i="13" s="1"/>
  <c r="N139" i="13" s="1"/>
  <c r="N140" i="13" s="1"/>
  <c r="N141" i="13" s="1"/>
  <c r="N142" i="13" s="1"/>
  <c r="N143" i="13" s="1"/>
  <c r="N144" i="13" s="1"/>
  <c r="N145" i="13" s="1"/>
  <c r="N146" i="13" s="1"/>
  <c r="N147" i="13" s="1"/>
  <c r="N148" i="13" s="1"/>
  <c r="N149" i="13" s="1"/>
  <c r="N150" i="13" s="1"/>
  <c r="N151" i="13" s="1"/>
  <c r="N152" i="13" s="1"/>
  <c r="N153" i="13" s="1"/>
  <c r="N154" i="13" s="1"/>
  <c r="N155" i="13" s="1"/>
  <c r="N156" i="13" s="1"/>
  <c r="N157" i="13" s="1"/>
  <c r="N158" i="13" s="1"/>
  <c r="N159" i="13" s="1"/>
  <c r="N160" i="13" s="1"/>
  <c r="N161" i="13" s="1"/>
  <c r="N162" i="13" s="1"/>
  <c r="N163" i="13" s="1"/>
  <c r="N118" i="13"/>
  <c r="N119" i="13" s="1"/>
  <c r="N120" i="13" s="1"/>
  <c r="K15" i="7" l="1"/>
  <c r="L51" i="13"/>
  <c r="L52" i="13" s="1"/>
  <c r="L53" i="13" s="1"/>
  <c r="L54" i="13" s="1"/>
  <c r="L55" i="13" s="1"/>
  <c r="L56" i="13" s="1"/>
  <c r="L57" i="13" s="1"/>
  <c r="L58" i="13" s="1"/>
  <c r="L59" i="13" s="1"/>
  <c r="L60" i="13" s="1"/>
  <c r="L61" i="13" s="1"/>
  <c r="L62" i="13" s="1"/>
  <c r="L63" i="13" s="1"/>
  <c r="L64" i="13" s="1"/>
  <c r="L65" i="13" s="1"/>
  <c r="L66" i="13" s="1"/>
  <c r="L67" i="13" s="1"/>
  <c r="L68" i="13" s="1"/>
  <c r="L69" i="13" s="1"/>
  <c r="L70" i="13" s="1"/>
  <c r="L71" i="13" s="1"/>
  <c r="L72" i="13" s="1"/>
  <c r="E45" i="13"/>
  <c r="E29" i="13"/>
  <c r="E31" i="13" s="1"/>
  <c r="E22" i="13"/>
  <c r="E19" i="13"/>
  <c r="P8" i="13"/>
  <c r="O8" i="13"/>
  <c r="N8" i="13"/>
  <c r="M8" i="13"/>
  <c r="L8" i="13"/>
  <c r="E14" i="13"/>
  <c r="P9" i="13"/>
  <c r="E5" i="13"/>
  <c r="E6" i="13" s="1"/>
  <c r="E8" i="13" s="1"/>
  <c r="E9" i="13" s="1"/>
  <c r="E23" i="13" l="1"/>
  <c r="I23" i="13" s="1"/>
  <c r="K23" i="13" s="1"/>
  <c r="M9" i="13"/>
  <c r="L9" i="13"/>
  <c r="N9" i="13"/>
  <c r="O9" i="13"/>
  <c r="D42" i="1"/>
  <c r="D41" i="1"/>
  <c r="D43" i="1" l="1"/>
  <c r="D21" i="1" s="1"/>
  <c r="I43" i="1"/>
  <c r="M10" i="13"/>
  <c r="O10" i="13"/>
  <c r="N10" i="13"/>
  <c r="L10" i="13"/>
  <c r="P10" i="13"/>
  <c r="M18" i="13" s="1"/>
  <c r="M28" i="14" s="1"/>
  <c r="D11" i="1"/>
  <c r="D44" i="1"/>
  <c r="L18" i="13" l="1"/>
  <c r="L28" i="14" s="1"/>
  <c r="I15" i="14"/>
  <c r="D45" i="1"/>
  <c r="I42" i="1"/>
  <c r="I45" i="1"/>
  <c r="D48" i="1"/>
  <c r="E32" i="1" l="1"/>
  <c r="F42" i="9" l="1"/>
  <c r="F56" i="9"/>
  <c r="F55" i="9" s="1"/>
  <c r="F58" i="9" s="1"/>
  <c r="F46" i="9"/>
  <c r="F47" i="9" s="1"/>
  <c r="F50" i="9" s="1"/>
  <c r="F49" i="9" l="1"/>
  <c r="F59" i="9"/>
  <c r="G30" i="9" l="1"/>
  <c r="F27" i="9"/>
  <c r="B20" i="9" l="1"/>
  <c r="B21" i="9" l="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H16" i="7"/>
  <c r="E16" i="7" s="1"/>
  <c r="I16" i="7" l="1"/>
  <c r="H17" i="7"/>
  <c r="E17" i="7" s="1"/>
  <c r="M14" i="7" s="1"/>
  <c r="M15" i="7" s="1"/>
  <c r="M17" i="7" s="1"/>
  <c r="K16" i="7" l="1"/>
  <c r="I17" i="7"/>
  <c r="M20" i="7" s="1"/>
  <c r="K17" i="7" l="1"/>
  <c r="M21" i="7" s="1"/>
  <c r="M22" i="7" l="1"/>
  <c r="Q26" i="1" l="1"/>
  <c r="N31" i="1"/>
  <c r="P31" i="1" s="1"/>
  <c r="O31" i="1"/>
  <c r="R31" i="1" l="1"/>
  <c r="S31" i="1" s="1"/>
  <c r="N30" i="1" l="1"/>
  <c r="O30" i="1"/>
  <c r="O29" i="1" l="1"/>
  <c r="N29" i="1"/>
  <c r="P30" i="1"/>
  <c r="S30" i="1" l="1"/>
  <c r="R30" i="1"/>
  <c r="N28" i="1"/>
  <c r="O28" i="1"/>
  <c r="P29" i="1"/>
  <c r="S29" i="1" l="1"/>
  <c r="R29" i="1"/>
  <c r="N27" i="1"/>
  <c r="O27" i="1"/>
  <c r="P28" i="1"/>
  <c r="S28" i="1" l="1"/>
  <c r="R28" i="1"/>
  <c r="O26" i="1"/>
  <c r="N26" i="1"/>
  <c r="P27" i="1"/>
  <c r="S27" i="1" l="1"/>
  <c r="R27" i="1"/>
  <c r="P26" i="1"/>
  <c r="N22" i="1"/>
  <c r="S26" i="1" l="1"/>
  <c r="S32" i="1" s="1"/>
  <c r="R26" i="1"/>
  <c r="D47" i="1"/>
  <c r="I44" i="1" s="1"/>
  <c r="I47" i="1" l="1"/>
  <c r="D26" i="1" s="1"/>
  <c r="D28" i="1" s="1"/>
  <c r="E24" i="1" l="1"/>
  <c r="D22" i="1" l="1"/>
  <c r="D24" i="1" s="1"/>
  <c r="G26" i="9"/>
  <c r="H26" i="9" s="1"/>
  <c r="I26" i="9" s="1"/>
  <c r="J26" i="9" s="1"/>
  <c r="K26" i="9" s="1"/>
  <c r="L26" i="9" s="1"/>
  <c r="G24" i="9"/>
  <c r="G25" i="9"/>
  <c r="H25" i="9" s="1"/>
  <c r="I25" i="9" s="1"/>
  <c r="J25" i="9" s="1"/>
  <c r="K25" i="9" s="1"/>
  <c r="L25" i="9" s="1"/>
  <c r="G27" i="9" l="1"/>
  <c r="H24" i="9"/>
  <c r="D30" i="1" l="1"/>
  <c r="D32" i="1" s="1"/>
  <c r="D35" i="1" s="1"/>
  <c r="H27" i="9"/>
  <c r="I24" i="9"/>
  <c r="I27" i="9" l="1"/>
  <c r="J24" i="9"/>
  <c r="K24" i="9" l="1"/>
  <c r="J27" i="9"/>
  <c r="K27" i="9" l="1"/>
  <c r="L24" i="9"/>
  <c r="L27" i="9" s="1"/>
  <c r="G29" i="9" s="1"/>
  <c r="G31" i="9" s="1"/>
  <c r="M23" i="7" l="1"/>
  <c r="M24" i="7" s="1"/>
  <c r="M35" i="7" l="1"/>
  <c r="M32" i="7"/>
  <c r="M36" i="7" l="1"/>
  <c r="M37" i="7" s="1"/>
</calcChain>
</file>

<file path=xl/sharedStrings.xml><?xml version="1.0" encoding="utf-8"?>
<sst xmlns="http://schemas.openxmlformats.org/spreadsheetml/2006/main" count="925" uniqueCount="469">
  <si>
    <t>Salaire au:</t>
  </si>
  <si>
    <t>Échelon</t>
  </si>
  <si>
    <t>Tableau: Salaire_10_20</t>
  </si>
  <si>
    <t>Salaire moyen</t>
  </si>
  <si>
    <t>mois</t>
  </si>
  <si>
    <t>ans</t>
  </si>
  <si>
    <t>Daniel Légaré janvier 2016</t>
  </si>
  <si>
    <t>Moyenne:</t>
  </si>
  <si>
    <t>35 ans de service:</t>
  </si>
  <si>
    <t>Anticipation:</t>
  </si>
  <si>
    <t>Critère retenu:</t>
  </si>
  <si>
    <t>61 ans d'âge:</t>
  </si>
  <si>
    <t>Années de service</t>
  </si>
  <si>
    <t>Âge</t>
  </si>
  <si>
    <t>55 ans d'âge ou 35 ans de service:</t>
  </si>
  <si>
    <t>Service admissible à 60 ans</t>
  </si>
  <si>
    <t>Mois avant 60 ans</t>
  </si>
  <si>
    <t>Critères d'admissibilités:</t>
  </si>
  <si>
    <t>Situation</t>
  </si>
  <si>
    <t>Anticipation pour le facteur 90:</t>
  </si>
  <si>
    <t>Années de service pour le calcul de la rente à date de prise de retraite</t>
  </si>
  <si>
    <t>Années de service pour fin d'admissibilité à la date de prise de la retraite</t>
  </si>
  <si>
    <t>Date de naissance (AAAA-MM-JJ)</t>
  </si>
  <si>
    <t>Corr.</t>
  </si>
  <si>
    <t>MGA</t>
  </si>
  <si>
    <t>Revenus admissibles</t>
  </si>
  <si>
    <t>Somme des revenus de travail réajustés depuis l'âge de 18 ans</t>
  </si>
  <si>
    <t>Somme des revenus admissibles à retirer</t>
  </si>
  <si>
    <t>Pénalité par mois</t>
  </si>
  <si>
    <t>par mois après 65 ans max 42%</t>
  </si>
  <si>
    <t>Nombre de mois après 65 ans</t>
  </si>
  <si>
    <t>Année</t>
  </si>
  <si>
    <t>Réduction de 0,6% par mois avant 65 ans max 36%</t>
  </si>
  <si>
    <t>Nombre de mois avant 65 ans</t>
  </si>
  <si>
    <t>Bonification par mois</t>
  </si>
  <si>
    <t>Rente mensuelle RRQ</t>
  </si>
  <si>
    <t>Exemption</t>
  </si>
  <si>
    <t>TAIR</t>
  </si>
  <si>
    <t>TAIR :</t>
  </si>
  <si>
    <t>Entre le 1er juillet 1982 et le 31 décembre 1999 (TAIR - 3%) :</t>
  </si>
  <si>
    <t>Avant le 30 juin 1982 (TAIR) :</t>
  </si>
  <si>
    <t>Depuis le 1er janvier 2000 (TAIR - 3% ou 50% du TAIR) :</t>
  </si>
  <si>
    <t>Total :</t>
  </si>
  <si>
    <t>Rente</t>
  </si>
  <si>
    <t>Années de service aux fins de calcul par période</t>
  </si>
  <si>
    <t>Années</t>
  </si>
  <si>
    <t>Mois sous le MGA</t>
  </si>
  <si>
    <t>Daniel Légaré</t>
  </si>
  <si>
    <t xml:space="preserve">Indexation sur 5 ans : </t>
  </si>
  <si>
    <r>
      <t>1</t>
    </r>
    <r>
      <rPr>
        <vertAlign val="superscript"/>
        <sz val="11"/>
        <color theme="1"/>
        <rFont val="Calibri"/>
        <family val="2"/>
        <scheme val="minor"/>
      </rPr>
      <t>er</t>
    </r>
    <r>
      <rPr>
        <sz val="11"/>
        <color theme="1"/>
        <rFont val="Calibri"/>
        <family val="2"/>
        <scheme val="minor"/>
      </rPr>
      <t xml:space="preserve"> janvier 2000 (TAIR - 3% ou 50% du TAIR) :</t>
    </r>
  </si>
  <si>
    <t>Années de service par période</t>
  </si>
  <si>
    <t>Indexation sur 5 ans</t>
  </si>
  <si>
    <t>IPC ou TAIR sur 5 ans</t>
  </si>
  <si>
    <t>Rente maximale du RRQ en 2020</t>
  </si>
  <si>
    <t>Rente par mois</t>
  </si>
  <si>
    <t>Bonification de la rente du RRQ</t>
  </si>
  <si>
    <t>Rente annuelle maximale</t>
  </si>
  <si>
    <t>Rente annuelle</t>
  </si>
  <si>
    <t>Pénalité annuelle</t>
  </si>
  <si>
    <t>Bonification annuelle</t>
  </si>
  <si>
    <t xml:space="preserve"> </t>
  </si>
  <si>
    <t>Nombre de mois admissibles</t>
  </si>
  <si>
    <t>Au 1er avril</t>
  </si>
  <si>
    <t>Au 1er janv.</t>
  </si>
  <si>
    <r>
      <t>Du 1</t>
    </r>
    <r>
      <rPr>
        <vertAlign val="superscript"/>
        <sz val="11"/>
        <color theme="1"/>
        <rFont val="Calibri"/>
        <family val="2"/>
        <scheme val="minor"/>
      </rPr>
      <t>er</t>
    </r>
    <r>
      <rPr>
        <sz val="11"/>
        <color theme="1"/>
        <rFont val="Calibri"/>
        <family val="2"/>
        <scheme val="minor"/>
      </rPr>
      <t xml:space="preserve"> juill. 1982 au 31 déc. 1999 (TAIR - 3%) :</t>
    </r>
  </si>
  <si>
    <t>Tableau: Date_salaire_colonne</t>
  </si>
  <si>
    <t>Date du Relevé de participation</t>
  </si>
  <si>
    <t>Années de service pour l'admissibilité</t>
  </si>
  <si>
    <t>Lafortune :</t>
  </si>
  <si>
    <t xml:space="preserve">Salaire annuel : </t>
  </si>
  <si>
    <t xml:space="preserve">MGA : </t>
  </si>
  <si>
    <t>25% du MGA</t>
  </si>
  <si>
    <t xml:space="preserve">Salaire cotisable : </t>
  </si>
  <si>
    <t xml:space="preserve">Taux de cotisation : </t>
  </si>
  <si>
    <t xml:space="preserve">Cotisation : </t>
  </si>
  <si>
    <t xml:space="preserve">Par paie : </t>
  </si>
  <si>
    <t>Jules</t>
  </si>
  <si>
    <t xml:space="preserve">Années pour fins de calcul : </t>
  </si>
  <si>
    <t xml:space="preserve">Salaire moyen : </t>
  </si>
  <si>
    <t xml:space="preserve">Rente : </t>
  </si>
  <si>
    <t>Julie</t>
  </si>
  <si>
    <t>Années pour fins de calcul</t>
  </si>
  <si>
    <t xml:space="preserve">Rente sans réduction : </t>
  </si>
  <si>
    <t xml:space="preserve">Anticipation : </t>
  </si>
  <si>
    <t xml:space="preserve">Réduction : </t>
  </si>
  <si>
    <t xml:space="preserve">Rente avec réduction : </t>
  </si>
  <si>
    <t>Cotisation au RRQ</t>
  </si>
  <si>
    <t xml:space="preserve">Exemption de base : </t>
  </si>
  <si>
    <t xml:space="preserve">Gains cotisables : </t>
  </si>
  <si>
    <t>Cotisation :</t>
  </si>
  <si>
    <t>Coordination RRQ</t>
  </si>
  <si>
    <t>MGA moyen</t>
  </si>
  <si>
    <t xml:space="preserve">MAG moyen 5 ans : </t>
  </si>
  <si>
    <t>Facteur de réduction</t>
  </si>
  <si>
    <t>Année de service</t>
  </si>
  <si>
    <t>Utilisation des surplus au RREGOP</t>
  </si>
  <si>
    <t xml:space="preserve">Exemption : </t>
  </si>
  <si>
    <t>120% et +</t>
  </si>
  <si>
    <t>Amélioration de l'indexation de la rente pour les années entre 1982 et 2000</t>
  </si>
  <si>
    <t xml:space="preserve">À cotiser : </t>
  </si>
  <si>
    <t>Le taux de cotisation au RRQ passera de 5,4% à 6,4%  d'ici le 1er janvier 2023</t>
  </si>
  <si>
    <t xml:space="preserve">Taux de base : </t>
  </si>
  <si>
    <t>Baisse du taux de cotisation (amortissement sur 15 ans)</t>
  </si>
  <si>
    <t>Surplus versé dans un fonds de stablilisation</t>
  </si>
  <si>
    <t xml:space="preserve">Nouveau taux : </t>
  </si>
  <si>
    <t xml:space="preserve">Différence : </t>
  </si>
  <si>
    <t>Capitalisation</t>
  </si>
  <si>
    <t xml:space="preserve">Cotisation :  </t>
  </si>
  <si>
    <t xml:space="preserve">Par la suite dès 2024, une cotisation supplémentaire de 4% s'appliquera pour tout montant en excédant de 107% du MGA en 2024 et 114 % du MGA en 2025 </t>
  </si>
  <si>
    <t xml:space="preserve">Taux : </t>
  </si>
  <si>
    <t xml:space="preserve">Excédent : </t>
  </si>
  <si>
    <t xml:space="preserve">Augmentation : </t>
  </si>
  <si>
    <t>RREGOP évolution du taux de cotisation</t>
  </si>
  <si>
    <t>Solde au RREGOP</t>
  </si>
  <si>
    <t>Taux</t>
  </si>
  <si>
    <t>Mds $</t>
  </si>
  <si>
    <t>RRPE Taux d'évolution du taux de cotisation</t>
  </si>
  <si>
    <t>Le calcul de la diminution applicable à votre rente du RREGOP due à la coordination avec le RRQ</t>
  </si>
  <si>
    <r>
      <t>La diminution applicable à votre rente du RREGOP sera calculée de la façon suivante : le nombre d'années de service qui ont servi à calculer votre rente de base et qui ont été accomplies depuis le 1</t>
    </r>
    <r>
      <rPr>
        <sz val="9"/>
        <color rgb="FF444444"/>
        <rFont val="Arial"/>
        <family val="2"/>
      </rPr>
      <t>er</t>
    </r>
    <r>
      <rPr>
        <sz val="12"/>
        <color rgb="FF444444"/>
        <rFont val="Arial"/>
        <family val="2"/>
      </rPr>
      <t> janvier 1966 (au maximum 35 années) × le taux annuel de coordination de la rente avec le RRQ (0,7 %) × le plus petit montant entre le salaire admissible moyen de vos 5 dernières années de service et la moyenne des maximums des gains admissibles (MGA) de vos 5 dernières années de service.</t>
    </r>
  </si>
  <si>
    <t>https://www.retraitequebec.gouv.qc.ca/fr/publications/rrsp/rregop/Pages/rregop.aspx</t>
  </si>
  <si>
    <t>Régime</t>
  </si>
  <si>
    <t>Participants Actifs</t>
  </si>
  <si>
    <r>
      <t xml:space="preserve">Participants Non actifs </t>
    </r>
    <r>
      <rPr>
        <vertAlign val="superscript"/>
        <sz val="11"/>
        <color theme="1"/>
        <rFont val="Calibri"/>
        <family val="2"/>
      </rPr>
      <t>1</t>
    </r>
  </si>
  <si>
    <t>Retraités</t>
  </si>
  <si>
    <t>Conjoints et survivants</t>
  </si>
  <si>
    <t>Total</t>
  </si>
  <si>
    <t>RREGOP</t>
  </si>
  <si>
    <t>RRPE</t>
  </si>
  <si>
    <t>RRE</t>
  </si>
  <si>
    <t>RRF</t>
  </si>
  <si>
    <t>RRCE</t>
  </si>
  <si>
    <t>RREM</t>
  </si>
  <si>
    <t>RRMCM</t>
  </si>
  <si>
    <t>RRMSQ</t>
  </si>
  <si>
    <t>RRAPSC</t>
  </si>
  <si>
    <t>RRMAN</t>
  </si>
  <si>
    <t>Régimes des juges</t>
  </si>
  <si>
    <t>Protecteur du citoyen</t>
  </si>
  <si>
    <t>Régimes particuliers(d)</t>
  </si>
  <si>
    <t>RRCHCN</t>
  </si>
  <si>
    <t>RREFQ</t>
  </si>
  <si>
    <t xml:space="preserve">Évolution des indicateurs de maturité au RREGOP </t>
  </si>
  <si>
    <t>Actif/prestataire</t>
  </si>
  <si>
    <t>Proportion des inactifs</t>
  </si>
  <si>
    <t>Passif des prestataires/passif total</t>
  </si>
  <si>
    <t>n.d.</t>
  </si>
  <si>
    <t xml:space="preserve">Passif / masse salariale </t>
  </si>
  <si>
    <t>Caisse des participant/masse salariale</t>
  </si>
  <si>
    <t>Impact d'un manque à gagner de 10% sur le taux de cotisation</t>
  </si>
  <si>
    <t>Tair</t>
  </si>
  <si>
    <t>Tair-3%</t>
  </si>
  <si>
    <t>Tair-3% ou 50% du Tair</t>
  </si>
  <si>
    <t>12,30 %</t>
  </si>
  <si>
    <t>1,60 %</t>
  </si>
  <si>
    <t>0,00 %</t>
  </si>
  <si>
    <t>1,9 %</t>
  </si>
  <si>
    <t>0,95 %</t>
  </si>
  <si>
    <t>9,90 %</t>
  </si>
  <si>
    <t>0,90 %</t>
  </si>
  <si>
    <t>9,00 %</t>
  </si>
  <si>
    <t>1,90 %</t>
  </si>
  <si>
    <t>1,50 %</t>
  </si>
  <si>
    <t>7,50 %</t>
  </si>
  <si>
    <t>2,30 %</t>
  </si>
  <si>
    <t>8,20 %</t>
  </si>
  <si>
    <t>11,20 %</t>
  </si>
  <si>
    <t>10,40 %</t>
  </si>
  <si>
    <t>1,80 %</t>
  </si>
  <si>
    <t>5,80 %</t>
  </si>
  <si>
    <t>2,80 %</t>
  </si>
  <si>
    <t>4,80 %</t>
  </si>
  <si>
    <t>1,70 %</t>
  </si>
  <si>
    <t>0,85 %</t>
  </si>
  <si>
    <t>0,40 %</t>
  </si>
  <si>
    <t>0,20 %</t>
  </si>
  <si>
    <t>4,10 %</t>
  </si>
  <si>
    <t>1,10 %</t>
  </si>
  <si>
    <t>2,50 %</t>
  </si>
  <si>
    <t>1,25 %</t>
  </si>
  <si>
    <t>4,40 %</t>
  </si>
  <si>
    <t>1,40 %</t>
  </si>
  <si>
    <t>2,00 %</t>
  </si>
  <si>
    <t>1,00 %</t>
  </si>
  <si>
    <t>2,10 %</t>
  </si>
  <si>
    <t>1,05 %</t>
  </si>
  <si>
    <t>4,00 %</t>
  </si>
  <si>
    <t>1,15 %</t>
  </si>
  <si>
    <t>6,70 %</t>
  </si>
  <si>
    <t>3,70 %</t>
  </si>
  <si>
    <t>3,20 %</t>
  </si>
  <si>
    <t>0,80 %</t>
  </si>
  <si>
    <t>3,00 %</t>
  </si>
  <si>
    <t>Indexation depuis 1973</t>
  </si>
  <si>
    <t>Augmentation du taux de base (en fonction du MGA 2021)</t>
  </si>
  <si>
    <t>Régime supplémentaire (en fonction du MGA 2021)</t>
  </si>
  <si>
    <t xml:space="preserve">Service: </t>
  </si>
  <si>
    <t>de tâche</t>
  </si>
  <si>
    <t>Éch.</t>
  </si>
  <si>
    <t>Sal_conven</t>
  </si>
  <si>
    <t>Salaire_cotisable</t>
  </si>
  <si>
    <t>Réduction</t>
  </si>
  <si>
    <t>Cotisation</t>
  </si>
  <si>
    <t>Par paye</t>
  </si>
  <si>
    <t>MGA :</t>
  </si>
  <si>
    <t>35% du MGA :</t>
  </si>
  <si>
    <t>25% du MGA :</t>
  </si>
  <si>
    <t>Taux de cotisation :</t>
  </si>
  <si>
    <t>Facteur de réduction :</t>
  </si>
  <si>
    <t>Taux d'intérêt :</t>
  </si>
  <si>
    <t>L'exemption pour les employés à temps partiel est calculée, en fonction des heures travaillées</t>
  </si>
  <si>
    <t>MGA/260j*6,5h/j :</t>
  </si>
  <si>
    <t>PP# 45</t>
  </si>
  <si>
    <t>Au 1er avril 2022 échelon 17</t>
  </si>
  <si>
    <t>Taux au :</t>
  </si>
  <si>
    <t>Dates:</t>
  </si>
  <si>
    <t>2021-07-01​</t>
  </si>
  <si>
    <t>Échelon​</t>
  </si>
  <si>
    <t>—</t>
  </si>
  <si>
    <t>1</t>
  </si>
  <si>
    <t>2</t>
  </si>
  <si>
    <t>3</t>
  </si>
  <si>
    <t>4</t>
  </si>
  <si>
    <t>5</t>
  </si>
  <si>
    <t>6</t>
  </si>
  <si>
    <t>16 - 1</t>
  </si>
  <si>
    <t>16 - 2</t>
  </si>
  <si>
    <t>​</t>
  </si>
  <si>
    <t>16 - 3</t>
  </si>
  <si>
    <t>16 - 4</t>
  </si>
  <si>
    <t>16 - 5</t>
  </si>
  <si>
    <t>16 - 6</t>
  </si>
  <si>
    <t>17, 18 - 1</t>
  </si>
  <si>
    <t>17, 18 - 2</t>
  </si>
  <si>
    <t> ​</t>
  </si>
  <si>
    <t>17, 18 - 3</t>
  </si>
  <si>
    <t>17, 18 - 4</t>
  </si>
  <si>
    <t>17, 18 - 5</t>
  </si>
  <si>
    <t>17, 18 - 6</t>
  </si>
  <si>
    <t>19 et plus - 1</t>
  </si>
  <si>
    <t>19 et plus - 2</t>
  </si>
  <si>
    <t>19 et plus - 3</t>
  </si>
  <si>
    <t>19 et plus - 4</t>
  </si>
  <si>
    <t>19 et plus - 5</t>
  </si>
  <si>
    <t>19 et plus - 6</t>
  </si>
  <si>
    <t>PP#18</t>
  </si>
  <si>
    <t>Si Julie veut acheter la réduction:</t>
  </si>
  <si>
    <t>Réduction:</t>
  </si>
  <si>
    <t>Espérance de vie pour les femmes 84 ans et 81 ans pour les hommes</t>
  </si>
  <si>
    <t>84- 57 = 27, elle devrait recevoir 1 411,20 $ pendant 27 ans, soit 38 102,40 sans compter l'indexation de la réducatin annuellement</t>
  </si>
  <si>
    <t>Exemple d'achat d'une année à l'échelon 17 entre 1985 et 1999 : 17 025 $ ai la personne a 60 ans et 14 302 $ si la personne a 50 ans.</t>
  </si>
  <si>
    <t>Increase in Base Rate</t>
  </si>
  <si>
    <t>$64,900.00</t>
  </si>
  <si>
    <t xml:space="preserve">Exemption </t>
  </si>
  <si>
    <t>$3,500.00</t>
  </si>
  <si>
    <t>Contrib. earnings</t>
  </si>
  <si>
    <t>$61,400.00</t>
  </si>
  <si>
    <t>New rate</t>
  </si>
  <si>
    <t>Base rate</t>
  </si>
  <si>
    <t>6.15%</t>
  </si>
  <si>
    <t>Difference</t>
  </si>
  <si>
    <t>$92.10</t>
  </si>
  <si>
    <t>$184.20</t>
  </si>
  <si>
    <t>$307.00</t>
  </si>
  <si>
    <t>$460.50</t>
  </si>
  <si>
    <t>$614.00</t>
  </si>
  <si>
    <t>Contribution</t>
  </si>
  <si>
    <t>$3,3776.10</t>
  </si>
  <si>
    <t>$3,407.70</t>
  </si>
  <si>
    <t>$/,499.80</t>
  </si>
  <si>
    <t>$3,622.60</t>
  </si>
  <si>
    <t>$3,776.10</t>
  </si>
  <si>
    <t>$3,929.60</t>
  </si>
  <si>
    <t>Rate</t>
  </si>
  <si>
    <t>$69,443.00</t>
  </si>
  <si>
    <t>Excess</t>
  </si>
  <si>
    <t>$4,543.00</t>
  </si>
  <si>
    <t>$9,086.00</t>
  </si>
  <si>
    <t>34 813,52</t>
  </si>
  <si>
    <t>$73,986.00</t>
  </si>
  <si>
    <t>Increase</t>
  </si>
  <si>
    <t>$181.72</t>
  </si>
  <si>
    <t>$363.44</t>
  </si>
  <si>
    <t>37 057,43</t>
  </si>
  <si>
    <t>$3,957.82</t>
  </si>
  <si>
    <t>$4,293.04</t>
  </si>
  <si>
    <t>27 089,18</t>
  </si>
  <si>
    <t>9 495,39</t>
  </si>
  <si>
    <t>46 646,48</t>
  </si>
  <si>
    <t>34 005,33</t>
  </si>
  <si>
    <t>46 797,39</t>
  </si>
  <si>
    <t>10 051,82</t>
  </si>
  <si>
    <t>50 178,92</t>
  </si>
  <si>
    <t>10 058,27</t>
  </si>
  <si>
    <t>52 274,35</t>
  </si>
  <si>
    <t>9 321,75</t>
  </si>
  <si>
    <t>53 665,41</t>
  </si>
  <si>
    <t>4 445,21</t>
  </si>
  <si>
    <t>57 563,41</t>
  </si>
  <si>
    <t>57 559,90</t>
  </si>
  <si>
    <t>57 895,99</t>
  </si>
  <si>
    <t>Changes in RREGOP maturity indicators</t>
  </si>
  <si>
    <t>Assets/recipient</t>
  </si>
  <si>
    <t>Recipient liabilities/total liabilities</t>
  </si>
  <si>
    <t>Members' fund/payroll</t>
  </si>
  <si>
    <t>Impact of 10% shortfall on contribution rate</t>
  </si>
  <si>
    <t>1.4%</t>
  </si>
  <si>
    <t>1.8%</t>
  </si>
  <si>
    <t>Proportion of non-active members</t>
  </si>
  <si>
    <t>Liabilities/payroll</t>
  </si>
  <si>
    <t>Use of RREGOP surplus</t>
  </si>
  <si>
    <t>120% and +</t>
  </si>
  <si>
    <t>Improve pension indexation for 1982 through 2000</t>
  </si>
  <si>
    <t>Reduce contribution rate (amortized over 15 years)</t>
  </si>
  <si>
    <t>Surplus paid into a stabilizing fund</t>
  </si>
  <si>
    <t>Funding</t>
  </si>
  <si>
    <t>Tair-3% or 50% of Tair</t>
  </si>
  <si>
    <t>12.30 %</t>
  </si>
  <si>
    <t>1.60 %</t>
  </si>
  <si>
    <t>0.00 %</t>
  </si>
  <si>
    <t>1.26%</t>
  </si>
  <si>
    <t>0.63%</t>
  </si>
  <si>
    <t>9.90 %</t>
  </si>
  <si>
    <t>0.90 %</t>
  </si>
  <si>
    <t>1.9 %</t>
  </si>
  <si>
    <t>0.95 %</t>
  </si>
  <si>
    <t>9.00 %</t>
  </si>
  <si>
    <t>1.90 %</t>
  </si>
  <si>
    <t>2.3%</t>
  </si>
  <si>
    <t>1.15%</t>
  </si>
  <si>
    <t>1.50 %</t>
  </si>
  <si>
    <t>1.5%</t>
  </si>
  <si>
    <t>0.75%</t>
  </si>
  <si>
    <t>7.50 %</t>
  </si>
  <si>
    <t>2.30 %</t>
  </si>
  <si>
    <t>0.7%</t>
  </si>
  <si>
    <t>8.20 %</t>
  </si>
  <si>
    <t>1.2%</t>
  </si>
  <si>
    <t>0.6%</t>
  </si>
  <si>
    <t>11.20 %</t>
  </si>
  <si>
    <t>0.9%</t>
  </si>
  <si>
    <t>10.40 %</t>
  </si>
  <si>
    <t>1.80 %</t>
  </si>
  <si>
    <t>0.45%</t>
  </si>
  <si>
    <t>5.80 %</t>
  </si>
  <si>
    <t>2.80 %</t>
  </si>
  <si>
    <t>4.80 %</t>
  </si>
  <si>
    <t>1.70 %</t>
  </si>
  <si>
    <t>0.85 %</t>
  </si>
  <si>
    <t>4.10 %</t>
  </si>
  <si>
    <t>1.10 %</t>
  </si>
  <si>
    <t>0.40 %</t>
  </si>
  <si>
    <t>0.20 %</t>
  </si>
  <si>
    <t>4.40 %</t>
  </si>
  <si>
    <t>1.40 %</t>
  </si>
  <si>
    <t>2.50 %</t>
  </si>
  <si>
    <t>1.25 %</t>
  </si>
  <si>
    <t>2.00 %</t>
  </si>
  <si>
    <t>1.00 %</t>
  </si>
  <si>
    <t>4.00 %</t>
  </si>
  <si>
    <t>2.10 %</t>
  </si>
  <si>
    <t>1.05 %</t>
  </si>
  <si>
    <t>1.15 %</t>
  </si>
  <si>
    <t>6.70 %</t>
  </si>
  <si>
    <t>3.70 %</t>
  </si>
  <si>
    <t>3.20 %</t>
  </si>
  <si>
    <t>0.80 %</t>
  </si>
  <si>
    <t>TAIR = Rate of Increase of the Pension Index</t>
  </si>
  <si>
    <t>3.00 %</t>
  </si>
  <si>
    <t>Active members</t>
  </si>
  <si>
    <r>
      <t>Non-active members</t>
    </r>
    <r>
      <rPr>
        <vertAlign val="superscript"/>
        <sz val="11"/>
        <color theme="1"/>
        <rFont val="Calibri"/>
        <family val="2"/>
        <scheme val="minor"/>
      </rPr>
      <t>1</t>
    </r>
  </si>
  <si>
    <t>Retirees</t>
  </si>
  <si>
    <t>Spouses ans survivors</t>
  </si>
  <si>
    <t>Plan</t>
  </si>
  <si>
    <t>PPMP</t>
  </si>
  <si>
    <t>TPP</t>
  </si>
  <si>
    <t>CSSP</t>
  </si>
  <si>
    <t>PPCT</t>
  </si>
  <si>
    <t>PPEMO</t>
  </si>
  <si>
    <t>RPMCM</t>
  </si>
  <si>
    <t>SPMSQ</t>
  </si>
  <si>
    <t>PPPOCS</t>
  </si>
  <si>
    <t>PPMNA</t>
  </si>
  <si>
    <t>Juges' plans</t>
  </si>
  <si>
    <t>Public protector</t>
  </si>
  <si>
    <t>Special plans</t>
  </si>
  <si>
    <t>RPCHCN</t>
  </si>
  <si>
    <t>PPFEQ</t>
  </si>
  <si>
    <t>Volume au 31 décembre 2021</t>
  </si>
  <si>
    <t>Inscrire le MGA, la cellule est nommée : MGA</t>
  </si>
  <si>
    <t>Taux : 9,69 9,39 9,09</t>
  </si>
  <si>
    <t>La réduction est compensée par le Gouvernement</t>
  </si>
  <si>
    <t>Salaire admissible max. :</t>
  </si>
  <si>
    <t xml:space="preserve">MGA 2023 : </t>
  </si>
  <si>
    <t>Régime supplémentaire (en fonction du MGA 2023)</t>
  </si>
  <si>
    <t>Instructions</t>
  </si>
  <si>
    <t xml:space="preserve">   Cellule à remplir</t>
  </si>
  <si>
    <t xml:space="preserve">   Cellules à remplir si nécessaire (pour corrections ou ajustements)</t>
  </si>
  <si>
    <t>Pourcentage de réduction de la rente due à l'anticipation (1 mois = 0,5 %)</t>
  </si>
  <si>
    <t>Nombre de mois d'anticipation</t>
  </si>
  <si>
    <t>Réduction de la rente</t>
  </si>
  <si>
    <t>Poucentage de la moyenne des 5 meilleures années</t>
  </si>
  <si>
    <t>Pourcentage de la rente</t>
  </si>
  <si>
    <t>Ressources complémentaires :</t>
  </si>
  <si>
    <t>Informations générales sur le RREGOP</t>
  </si>
  <si>
    <t>PSV MAX</t>
  </si>
  <si>
    <t>Estimation de la rente du RREGOP</t>
  </si>
  <si>
    <t>Nombre de mois de retard (max : 60 mois)</t>
  </si>
  <si>
    <t>Informations générales sur la PSV</t>
  </si>
  <si>
    <t>Outil « Estimateur des prestations de la Sécurité de la vieillesse » du Gouvernement du Canada</t>
  </si>
  <si>
    <t>Outil « Estimation de la rente » de Retraite QC</t>
  </si>
  <si>
    <t>Formulaire « Demande d'estimation de la rente » de Retraite QC</t>
  </si>
  <si>
    <t>Estimation de la PSV</t>
  </si>
  <si>
    <t>Si moins de 40, indiquez votre nombre d'années de résidence au Canada depuis l'âge de 18 ans.</t>
  </si>
  <si>
    <t>Salaire moyen des 5 meilleures années :</t>
  </si>
  <si>
    <t>Exemple #1</t>
  </si>
  <si>
    <t>Exemple #2</t>
  </si>
  <si>
    <t xml:space="preserve">TAIR sur 5 ans : </t>
  </si>
  <si>
    <t>Manque à gagner :</t>
  </si>
  <si>
    <t>Légende</t>
  </si>
  <si>
    <r>
      <rPr>
        <b/>
        <i/>
        <sz val="18"/>
        <color rgb="FFFF0000"/>
        <rFont val="Calibri"/>
        <family val="2"/>
        <scheme val="minor"/>
      </rPr>
      <t>AVERTISSEMENT</t>
    </r>
    <r>
      <rPr>
        <b/>
        <i/>
        <sz val="14"/>
        <color rgb="FFFF0000"/>
        <rFont val="Calibri"/>
        <family val="2"/>
        <scheme val="minor"/>
      </rPr>
      <t xml:space="preserve">
Ce simulateur de rentes de retraite ne fournit qu’une estimation des rentes que vous devriez obtenir. Les renseignements s’y trouvant et les résultats obtenus ne servent que de guide afin de permettre d'entamer une réflexion sur les revenus de retraite. Par conséquent, les estimations obtenues n’ont aucune valeur légale et la FNEEQ-CSN se dégage de toute responsabilité sur de potentielles erreurs.  Avant de prendre une décision, nous vous invitons fortement à faire une demande d'estimation de rente auprès de Retraite Québec et de consulter un conseiller financier.</t>
    </r>
  </si>
  <si>
    <t>Années de service pour le calcul (max : 40)</t>
  </si>
  <si>
    <t>Salaires selon convention collective cégep</t>
  </si>
  <si>
    <t>Cette estimation ne tient pas compte de la diminution prévue à compter de 65 ans</t>
  </si>
  <si>
    <t>Estimation de la rente du RRQ</t>
  </si>
  <si>
    <t>Service**</t>
  </si>
  <si>
    <t>SM5 :</t>
  </si>
  <si>
    <t>À retenir</t>
  </si>
  <si>
    <t>SM5</t>
  </si>
  <si>
    <t>Réduction (0,6% par mois, max 36%)</t>
  </si>
  <si>
    <t>Bonification (0,7% par mois, max 42%)</t>
  </si>
  <si>
    <r>
      <t xml:space="preserve">CALCULATEUR DE RENTES DE RETRAITE
</t>
    </r>
    <r>
      <rPr>
        <b/>
        <sz val="20"/>
        <color theme="9" tint="-0.249977111117893"/>
        <rFont val="Calibri"/>
        <family val="2"/>
        <scheme val="minor"/>
      </rPr>
      <t>(MAI 2024)</t>
    </r>
  </si>
  <si>
    <t>Informations générales sur la rente de retraite du Régime des rentes du Québec</t>
  </si>
  <si>
    <t>Date de naissance</t>
  </si>
  <si>
    <t>Nombre de mois à retrancher</t>
  </si>
  <si>
    <t>Section 2 : Nombre de mois à retrancher</t>
  </si>
  <si>
    <t>Section 3 : Rente ajustée avant ou après 65 ans</t>
  </si>
  <si>
    <t>Revenus de travail retranchés</t>
  </si>
  <si>
    <t>Revenu de travail annuel réajusté*</t>
  </si>
  <si>
    <t>Mois de cotisation</t>
  </si>
  <si>
    <t>Mois de cotisation (depuis votre 18e anniversaire)</t>
  </si>
  <si>
    <t>MGA atteint</t>
  </si>
  <si>
    <t>Section 1 : Revenus admissibles</t>
  </si>
  <si>
    <t>Rente mensuelle de base</t>
  </si>
  <si>
    <t>Mois à retrancher (15% des mois cotisés, max nombre de mois sous MGA)</t>
  </si>
  <si>
    <t>Rente annuelle RRQ</t>
  </si>
  <si>
    <t>Mois retranché (somme de la colonne « nombre de mois à retrancher »)</t>
  </si>
  <si>
    <t>Méthode de clacul de la rente de retraite du Régime de rentes du Québec</t>
  </si>
  <si>
    <t>4) Indiquez le nombre de mois d'anticipation ou de retard si vous demandez votre rente de retraite avant ou après 65 ans.</t>
  </si>
  <si>
    <t>Outil SimulR de Retraite Québec</t>
  </si>
  <si>
    <t>Outil SimulRetraite de Retraite Québec</t>
  </si>
  <si>
    <r>
      <t xml:space="preserve">ATTENTION : Ce calculateur estime votre rente du RRQ si vous prenez votre retraite à la fin 2024.  Si vous prenez votre retraite plus tard, il est préférable de vous fier à la projection indiquée sur votre </t>
    </r>
    <r>
      <rPr>
        <b/>
        <i/>
        <sz val="11"/>
        <color rgb="FFFF0000"/>
        <rFont val="Calibri"/>
        <family val="2"/>
        <scheme val="minor"/>
      </rPr>
      <t>Relevé de participation du RRQ</t>
    </r>
    <r>
      <rPr>
        <b/>
        <sz val="11"/>
        <color rgb="FFFF0000"/>
        <rFont val="Calibri"/>
        <family val="2"/>
        <scheme val="minor"/>
      </rPr>
      <t>.</t>
    </r>
  </si>
  <si>
    <t>Nombre de mois avant 65 ans (max 60 mois)</t>
  </si>
  <si>
    <t>Nombre de mois après 65 ans (max 84 mois)</t>
  </si>
  <si>
    <t>Admissible*</t>
  </si>
  <si>
    <t>Annualisé</t>
  </si>
  <si>
    <t>* Le montant de la PSV est indexé trimestriellement.</t>
  </si>
  <si>
    <t>Échelon juste avant la retraite (enseignantes et enseignants du Cégep seulement)</t>
  </si>
  <si>
    <t>Dernier jour de travail (AAAA-MM-JJ)</t>
  </si>
  <si>
    <t>Jours civil dernière année</t>
  </si>
  <si>
    <r>
      <t xml:space="preserve">1) Dans l'onglet « RREGOP », indiquez la </t>
    </r>
    <r>
      <rPr>
        <b/>
        <sz val="16"/>
        <rFont val="Calibri"/>
        <family val="2"/>
        <scheme val="minor"/>
      </rPr>
      <t xml:space="preserve">date de prise de la retraite, </t>
    </r>
    <r>
      <rPr>
        <sz val="16"/>
        <rFont val="Calibri"/>
        <family val="2"/>
        <scheme val="minor"/>
      </rPr>
      <t xml:space="preserve">votre </t>
    </r>
    <r>
      <rPr>
        <b/>
        <sz val="16"/>
        <rFont val="Calibri"/>
        <family val="2"/>
        <scheme val="minor"/>
      </rPr>
      <t>date de naissance</t>
    </r>
    <r>
      <rPr>
        <sz val="16"/>
        <rFont val="Calibri"/>
        <family val="2"/>
        <scheme val="minor"/>
      </rPr>
      <t>.</t>
    </r>
  </si>
  <si>
    <r>
      <t xml:space="preserve">2) Si vous enseignez au Cégep, indiquez votre </t>
    </r>
    <r>
      <rPr>
        <b/>
        <sz val="16"/>
        <rFont val="Calibri"/>
        <family val="2"/>
        <scheme val="minor"/>
      </rPr>
      <t>échelon</t>
    </r>
    <r>
      <rPr>
        <sz val="16"/>
        <rFont val="Calibri"/>
        <family val="2"/>
        <scheme val="minor"/>
      </rPr>
      <t>.</t>
    </r>
  </si>
  <si>
    <t>3) Si vous connaissez vos salaires de vos 5 meilleures années, inscrivez-les dans le tableau prévu à cette fin.  Toutefois, si vous enseignez au cégep, vous pouvez laisser ce tableau vide et le calculateur utilisera les données « Salaires selon convention collective cégep » (veuillez toutefois corriger les échelons, si nécessaire).</t>
  </si>
  <si>
    <r>
      <t xml:space="preserve">4) À l'aide de votre dernier </t>
    </r>
    <r>
      <rPr>
        <i/>
        <sz val="16"/>
        <rFont val="Calibri"/>
        <family val="2"/>
        <scheme val="minor"/>
      </rPr>
      <t xml:space="preserve">Relevé de participation </t>
    </r>
    <r>
      <rPr>
        <sz val="16"/>
        <rFont val="Calibri"/>
        <family val="2"/>
        <scheme val="minor"/>
      </rPr>
      <t>de Retraite Québec, remplir les cellules jaunes associées.  Alternativement, vous pouvez indiquer les valeurs de votre choix dans les cellules roses (si ces cases sont utilisées, ce sont ces valeurs qui seront prises en compte pour le calcul).</t>
    </r>
  </si>
  <si>
    <t>5) Remplir les cellules jaune sur les onglets « RRQ » et « PSV ».  Davantage d'informations sont indiquées directement sur ces onglets.</t>
  </si>
  <si>
    <t>1) Dans la section 1, complétez la colonne « revenus admissibles » à partir de votre Relevé de participation du RRQ.</t>
  </si>
  <si>
    <t>2) Dans la section 2, indiquez votre date de naissance.</t>
  </si>
  <si>
    <t>3) Retranchez exactement le nombre de mois indiqué à la cellule M15.  Choisir les années pour lesquelles les revenus de travail annuels réajustés sont les plus faibles.</t>
  </si>
  <si>
    <r>
      <t xml:space="preserve">PSV annuelle jusqu'à 75 ans (montant non indexé*, </t>
    </r>
    <r>
      <rPr>
        <b/>
        <sz val="11"/>
        <color rgb="FFC00000"/>
        <rFont val="Calibri"/>
        <family val="2"/>
        <scheme val="minor"/>
      </rPr>
      <t>en date de mai 2024</t>
    </r>
    <r>
      <rPr>
        <b/>
        <sz val="11"/>
        <color theme="1"/>
        <rFont val="Calibri"/>
        <family val="2"/>
        <scheme val="minor"/>
      </rPr>
      <t xml:space="preserve">) </t>
    </r>
  </si>
  <si>
    <r>
      <t xml:space="preserve">PSV annuelle à partir de 75 ans (montant non indexé*, </t>
    </r>
    <r>
      <rPr>
        <b/>
        <sz val="11"/>
        <color rgb="FFC00000"/>
        <rFont val="Calibri"/>
        <family val="2"/>
        <scheme val="minor"/>
      </rPr>
      <t>en date de mai 2024</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</si>
</sst>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7" formatCode="#,##0.00\ &quot;$&quot;_);\(#,##0.00\ &quot;$&quot;\)"/>
    <numFmt numFmtId="8" formatCode="#,##0.00\ &quot;$&quot;_);[Red]\(#,##0.00\ &quot;$&quot;\)"/>
    <numFmt numFmtId="42" formatCode="_ * #,##0_)\ &quot;$&quot;_ ;_ * \(#,##0\)\ &quot;$&quot;_ ;_ * &quot;-&quot;_)\ &quot;$&quot;_ ;_ @_ "/>
    <numFmt numFmtId="44" formatCode="_ * #,##0.00_)\ &quot;$&quot;_ ;_ * \(#,##0.00\)\ &quot;$&quot;_ ;_ * &quot;-&quot;??_)\ &quot;$&quot;_ ;_ @_ "/>
    <numFmt numFmtId="164" formatCode="#,##0\ &quot;$&quot;"/>
    <numFmt numFmtId="165" formatCode="0.0"/>
    <numFmt numFmtId="166" formatCode="[$-F800]dddd\,\ mmmm\ dd\,\ yyyy"/>
    <numFmt numFmtId="167" formatCode=";;;"/>
    <numFmt numFmtId="168" formatCode="#,##0.00\ &quot;$&quot;"/>
    <numFmt numFmtId="169" formatCode="0.0%"/>
    <numFmt numFmtId="170" formatCode="_ * #,##0_)\ _$_ ;_ * \(#,##0\)\ _$_ ;_ * &quot;-&quot;_)\ _$_ ;_ @_ "/>
    <numFmt numFmtId="171" formatCode="0%&quot; du MGA :&quot;"/>
    <numFmt numFmtId="172" formatCode="###.##&quot; ans&quot;"/>
    <numFmt numFmtId="173" formatCode="#,##0.00&quot; $/h&quot;"/>
    <numFmt numFmtId="174" formatCode="_-&quot;$&quot;* #,##0_-;\-&quot;$&quot;* #,##0_-;_-&quot;$&quot;* &quot;-&quot;??_-;_-@_-"/>
    <numFmt numFmtId="175" formatCode="0%&quot; of MPE&quot;"/>
    <numFmt numFmtId="176" formatCode="[$-409]d/mmm/yy;@"/>
    <numFmt numFmtId="177" formatCode="0.0000"/>
    <numFmt numFmtId="178" formatCode="yyyy"/>
  </numFmts>
  <fonts count="51"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9.35"/>
      <color rgb="FF000000"/>
      <name val="Verdana"/>
      <family val="2"/>
    </font>
    <font>
      <b/>
      <sz val="9.35"/>
      <color rgb="FF000000"/>
      <name val="Verdana"/>
      <family val="2"/>
    </font>
    <font>
      <sz val="11"/>
      <name val="Calibri"/>
      <family val="2"/>
      <scheme val="minor"/>
    </font>
    <font>
      <vertAlign val="superscript"/>
      <sz val="11"/>
      <color theme="1"/>
      <name val="Calibri"/>
      <family val="2"/>
      <scheme val="minor"/>
    </font>
    <font>
      <sz val="8"/>
      <name val="Calibri"/>
      <family val="2"/>
      <scheme val="minor"/>
    </font>
    <font>
      <b/>
      <sz val="10"/>
      <color theme="1"/>
      <name val="Calibri"/>
      <family val="2"/>
      <scheme val="minor"/>
    </font>
    <font>
      <b/>
      <sz val="11"/>
      <color theme="1"/>
      <name val="Calibri"/>
      <family val="2"/>
    </font>
    <font>
      <b/>
      <sz val="18"/>
      <color theme="1"/>
      <name val="Calibri"/>
      <family val="2"/>
    </font>
    <font>
      <sz val="13.5"/>
      <color rgb="FF444444"/>
      <name val="Arial"/>
      <family val="2"/>
    </font>
    <font>
      <sz val="12"/>
      <color rgb="FF444444"/>
      <name val="Arial"/>
      <family val="2"/>
    </font>
    <font>
      <sz val="9"/>
      <color rgb="FF444444"/>
      <name val="Arial"/>
      <family val="2"/>
    </font>
    <font>
      <vertAlign val="superscript"/>
      <sz val="11"/>
      <color theme="1"/>
      <name val="Calibri"/>
      <family val="2"/>
    </font>
    <font>
      <sz val="12.1"/>
      <color rgb="FF40474B"/>
      <name val="Calibri"/>
      <family val="2"/>
      <scheme val="minor"/>
    </font>
    <font>
      <b/>
      <sz val="11"/>
      <name val="Calibri"/>
      <family val="2"/>
      <scheme val="minor"/>
    </font>
    <font>
      <sz val="11"/>
      <color rgb="FF000000"/>
      <name val="Calibri"/>
      <family val="2"/>
      <scheme val="minor"/>
    </font>
    <font>
      <sz val="9.5"/>
      <color rgb="FF000000"/>
      <name val="Arial"/>
      <family val="2"/>
    </font>
    <font>
      <b/>
      <sz val="9.5"/>
      <color rgb="FF000000"/>
      <name val="Arial"/>
      <family val="2"/>
    </font>
    <font>
      <sz val="11"/>
      <color rgb="FF40474B"/>
      <name val="Calibri"/>
      <family val="2"/>
      <scheme val="minor"/>
    </font>
    <font>
      <b/>
      <sz val="16"/>
      <color theme="1"/>
      <name val="Calibri"/>
      <family val="2"/>
      <scheme val="minor"/>
    </font>
    <font>
      <b/>
      <sz val="22"/>
      <color theme="1"/>
      <name val="Calibri"/>
      <family val="2"/>
      <scheme val="minor"/>
    </font>
    <font>
      <b/>
      <sz val="36"/>
      <color theme="9" tint="-0.249977111117893"/>
      <name val="Calibri"/>
      <family val="2"/>
      <scheme val="minor"/>
    </font>
    <font>
      <b/>
      <sz val="20"/>
      <color theme="9" tint="-0.249977111117893"/>
      <name val="Calibri"/>
      <family val="2"/>
      <scheme val="minor"/>
    </font>
    <font>
      <b/>
      <i/>
      <sz val="14"/>
      <color rgb="FFFF0000"/>
      <name val="Calibri"/>
      <family val="2"/>
      <scheme val="minor"/>
    </font>
    <font>
      <b/>
      <sz val="22"/>
      <name val="Calibri"/>
      <family val="2"/>
      <scheme val="minor"/>
    </font>
    <font>
      <sz val="16"/>
      <name val="Calibri"/>
      <family val="2"/>
      <scheme val="minor"/>
    </font>
    <font>
      <b/>
      <sz val="11"/>
      <color rgb="FF00B050"/>
      <name val="Calibri"/>
      <family val="2"/>
      <scheme val="minor"/>
    </font>
    <font>
      <sz val="12"/>
      <name val="Calibri"/>
      <family val="2"/>
      <scheme val="minor"/>
    </font>
    <font>
      <b/>
      <sz val="12"/>
      <color theme="1"/>
      <name val="Calibri"/>
      <family val="2"/>
      <scheme val="minor"/>
    </font>
    <font>
      <u/>
      <sz val="14"/>
      <color theme="10"/>
      <name val="Calibri"/>
      <family val="2"/>
      <scheme val="minor"/>
    </font>
    <font>
      <b/>
      <sz val="18"/>
      <color theme="1"/>
      <name val="Calibri"/>
      <family val="2"/>
      <scheme val="minor"/>
    </font>
    <font>
      <b/>
      <sz val="28"/>
      <color theme="1"/>
      <name val="Calibri"/>
      <family val="2"/>
      <scheme val="minor"/>
    </font>
    <font>
      <b/>
      <sz val="14"/>
      <color theme="1"/>
      <name val="Calibri"/>
      <family val="2"/>
      <scheme val="minor"/>
    </font>
    <font>
      <b/>
      <sz val="14"/>
      <name val="Calibri"/>
      <family val="2"/>
      <scheme val="minor"/>
    </font>
    <font>
      <sz val="16"/>
      <color theme="1"/>
      <name val="Calibri"/>
      <family val="2"/>
      <scheme val="minor"/>
    </font>
    <font>
      <b/>
      <i/>
      <sz val="18"/>
      <color rgb="FFFF0000"/>
      <name val="Calibri"/>
      <family val="2"/>
      <scheme val="minor"/>
    </font>
    <font>
      <b/>
      <i/>
      <sz val="11"/>
      <color theme="1"/>
      <name val="Calibri"/>
      <family val="2"/>
      <scheme val="minor"/>
    </font>
    <font>
      <b/>
      <i/>
      <sz val="14"/>
      <color theme="9" tint="-0.249977111117893"/>
      <name val="Calibri"/>
      <family val="2"/>
      <scheme val="minor"/>
    </font>
    <font>
      <b/>
      <sz val="16"/>
      <name val="Calibri"/>
      <family val="2"/>
      <scheme val="minor"/>
    </font>
    <font>
      <i/>
      <sz val="16"/>
      <name val="Calibri"/>
      <family val="2"/>
      <scheme val="minor"/>
    </font>
    <font>
      <b/>
      <sz val="12"/>
      <name val="Calibri"/>
      <family val="2"/>
      <scheme val="minor"/>
    </font>
    <font>
      <b/>
      <sz val="10"/>
      <color rgb="FFFF0000"/>
      <name val="Calibri"/>
      <family val="2"/>
      <scheme val="minor"/>
    </font>
    <font>
      <b/>
      <i/>
      <sz val="11"/>
      <color theme="9" tint="-0.499984740745262"/>
      <name val="Calibri"/>
      <family val="2"/>
      <scheme val="minor"/>
    </font>
    <font>
      <sz val="11"/>
      <color rgb="FFFF0000"/>
      <name val="Calibri"/>
      <family val="2"/>
      <scheme val="minor"/>
    </font>
    <font>
      <b/>
      <i/>
      <sz val="11"/>
      <color rgb="FFFF0000"/>
      <name val="Calibri"/>
      <family val="2"/>
      <scheme val="minor"/>
    </font>
    <font>
      <i/>
      <sz val="11"/>
      <color theme="1"/>
      <name val="Calibri"/>
      <family val="2"/>
      <scheme val="minor"/>
    </font>
    <font>
      <b/>
      <sz val="11"/>
      <color rgb="FFC00000"/>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9966"/>
        <bgColor indexed="64"/>
      </patternFill>
    </fill>
    <fill>
      <patternFill patternType="solid">
        <fgColor rgb="FFFF99CC"/>
        <bgColor indexed="64"/>
      </patternFill>
    </fill>
    <fill>
      <patternFill patternType="solid">
        <fgColor rgb="FFFFFFFF"/>
        <bgColor indexed="64"/>
      </patternFill>
    </fill>
  </fills>
  <borders count="147">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ck">
        <color rgb="FFFF0000"/>
      </right>
      <top style="thin">
        <color auto="1"/>
      </top>
      <bottom style="thin">
        <color auto="1"/>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rgb="FFFF0000"/>
      </left>
      <right/>
      <top style="thin">
        <color auto="1"/>
      </top>
      <bottom style="thin">
        <color auto="1"/>
      </bottom>
      <diagonal/>
    </border>
    <border>
      <left style="thick">
        <color rgb="FFFF0000"/>
      </left>
      <right/>
      <top style="thin">
        <color auto="1"/>
      </top>
      <bottom style="thick">
        <color rgb="FFFF0000"/>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bottom style="thin">
        <color auto="1"/>
      </bottom>
      <diagonal/>
    </border>
    <border>
      <left style="thick">
        <color rgb="FFFF0000"/>
      </left>
      <right/>
      <top/>
      <bottom style="thin">
        <color indexed="64"/>
      </bottom>
      <diagonal/>
    </border>
    <border>
      <left style="thick">
        <color rgb="FFFF0000"/>
      </left>
      <right style="thick">
        <color rgb="FFFF0000"/>
      </right>
      <top style="thick">
        <color rgb="FFFF0000"/>
      </top>
      <bottom style="double">
        <color rgb="FFFF0000"/>
      </bottom>
      <diagonal/>
    </border>
    <border>
      <left style="thin">
        <color auto="1"/>
      </left>
      <right style="thin">
        <color auto="1"/>
      </right>
      <top style="thin">
        <color auto="1"/>
      </top>
      <bottom style="double">
        <color rgb="FFFF0000"/>
      </bottom>
      <diagonal/>
    </border>
    <border>
      <left style="thin">
        <color auto="1"/>
      </left>
      <right style="thick">
        <color rgb="FFFF0000"/>
      </right>
      <top style="thin">
        <color auto="1"/>
      </top>
      <bottom style="double">
        <color rgb="FFFF0000"/>
      </bottom>
      <diagonal/>
    </border>
    <border>
      <left style="thick">
        <color rgb="FFFF0000"/>
      </left>
      <right style="thick">
        <color rgb="FFFF0000"/>
      </right>
      <top style="double">
        <color rgb="FFFF0000"/>
      </top>
      <bottom style="thick">
        <color rgb="FFFF0000"/>
      </bottom>
      <diagonal/>
    </border>
    <border>
      <left style="thick">
        <color rgb="FFFF0000"/>
      </left>
      <right style="thin">
        <color auto="1"/>
      </right>
      <top/>
      <bottom style="double">
        <color rgb="FFFF0000"/>
      </bottom>
      <diagonal/>
    </border>
    <border>
      <left/>
      <right style="thick">
        <color rgb="FFFF0000"/>
      </right>
      <top/>
      <bottom style="thick">
        <color rgb="FFFF0000"/>
      </bottom>
      <diagonal/>
    </border>
    <border>
      <left/>
      <right style="thin">
        <color auto="1"/>
      </right>
      <top style="thick">
        <color rgb="FFFF0000"/>
      </top>
      <bottom style="thin">
        <color auto="1"/>
      </bottom>
      <diagonal/>
    </border>
    <border>
      <left style="thin">
        <color auto="1"/>
      </left>
      <right style="thin">
        <color auto="1"/>
      </right>
      <top style="thick">
        <color auto="1"/>
      </top>
      <bottom/>
      <diagonal/>
    </border>
    <border>
      <left style="thin">
        <color indexed="64"/>
      </left>
      <right style="thin">
        <color indexed="64"/>
      </right>
      <top style="double">
        <color auto="1"/>
      </top>
      <bottom style="thin">
        <color indexed="64"/>
      </bottom>
      <diagonal/>
    </border>
    <border>
      <left style="thick">
        <color auto="1"/>
      </left>
      <right/>
      <top style="thin">
        <color indexed="64"/>
      </top>
      <bottom style="thin">
        <color indexed="64"/>
      </bottom>
      <diagonal/>
    </border>
    <border>
      <left style="thick">
        <color auto="1"/>
      </left>
      <right/>
      <top style="thin">
        <color indexed="64"/>
      </top>
      <bottom style="thick">
        <color auto="1"/>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double">
        <color auto="1"/>
      </top>
      <bottom style="thick">
        <color auto="1"/>
      </bottom>
      <diagonal/>
    </border>
    <border>
      <left style="thick">
        <color auto="1"/>
      </left>
      <right style="double">
        <color auto="1"/>
      </right>
      <top style="thick">
        <color auto="1"/>
      </top>
      <bottom style="thin">
        <color auto="1"/>
      </bottom>
      <diagonal/>
    </border>
    <border>
      <left style="double">
        <color auto="1"/>
      </left>
      <right style="thick">
        <color auto="1"/>
      </right>
      <top style="thick">
        <color auto="1"/>
      </top>
      <bottom style="thin">
        <color auto="1"/>
      </bottom>
      <diagonal/>
    </border>
    <border>
      <left style="thick">
        <color auto="1"/>
      </left>
      <right style="double">
        <color auto="1"/>
      </right>
      <top style="thin">
        <color auto="1"/>
      </top>
      <bottom style="thin">
        <color auto="1"/>
      </bottom>
      <diagonal/>
    </border>
    <border>
      <left style="double">
        <color auto="1"/>
      </left>
      <right style="thick">
        <color auto="1"/>
      </right>
      <top style="thin">
        <color auto="1"/>
      </top>
      <bottom style="thin">
        <color auto="1"/>
      </bottom>
      <diagonal/>
    </border>
    <border>
      <left style="thick">
        <color auto="1"/>
      </left>
      <right style="double">
        <color auto="1"/>
      </right>
      <top style="thin">
        <color auto="1"/>
      </top>
      <bottom style="thick">
        <color auto="1"/>
      </bottom>
      <diagonal/>
    </border>
    <border>
      <left style="double">
        <color auto="1"/>
      </left>
      <right style="thick">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style="double">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double">
        <color auto="1"/>
      </left>
      <right style="thick">
        <color auto="1"/>
      </right>
      <top style="double">
        <color auto="1"/>
      </top>
      <bottom style="thin">
        <color auto="1"/>
      </bottom>
      <diagonal/>
    </border>
    <border>
      <left/>
      <right style="thin">
        <color auto="1"/>
      </right>
      <top style="thick">
        <color auto="1"/>
      </top>
      <bottom/>
      <diagonal/>
    </border>
    <border>
      <left style="double">
        <color auto="1"/>
      </left>
      <right style="thick">
        <color auto="1"/>
      </right>
      <top style="thick">
        <color auto="1"/>
      </top>
      <bottom/>
      <diagonal/>
    </border>
    <border>
      <left style="double">
        <color auto="1"/>
      </left>
      <right style="thin">
        <color indexed="64"/>
      </right>
      <top style="double">
        <color auto="1"/>
      </top>
      <bottom style="thin">
        <color auto="1"/>
      </bottom>
      <diagonal/>
    </border>
    <border>
      <left style="thick">
        <color auto="1"/>
      </left>
      <right style="double">
        <color auto="1"/>
      </right>
      <top/>
      <bottom style="thin">
        <color auto="1"/>
      </bottom>
      <diagonal/>
    </border>
    <border>
      <left style="thick">
        <color auto="1"/>
      </left>
      <right style="double">
        <color auto="1"/>
      </right>
      <top style="thick">
        <color auto="1"/>
      </top>
      <bottom style="double">
        <color auto="1"/>
      </bottom>
      <diagonal/>
    </border>
    <border>
      <left style="thin">
        <color auto="1"/>
      </left>
      <right style="thin">
        <color auto="1"/>
      </right>
      <top style="thin">
        <color auto="1"/>
      </top>
      <bottom/>
      <diagonal/>
    </border>
    <border>
      <left/>
      <right style="double">
        <color rgb="FF000000"/>
      </right>
      <top/>
      <bottom style="thin">
        <color rgb="FF000000"/>
      </bottom>
      <diagonal/>
    </border>
    <border>
      <left/>
      <right style="double">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double">
        <color rgb="FF000000"/>
      </right>
      <top/>
      <bottom style="double">
        <color rgb="FF000000"/>
      </bottom>
      <diagonal/>
    </border>
    <border>
      <left/>
      <right/>
      <top/>
      <bottom style="double">
        <color rgb="FF000000"/>
      </bottom>
      <diagonal/>
    </border>
    <border>
      <left/>
      <right style="double">
        <color rgb="FF000000"/>
      </right>
      <top style="thin">
        <color rgb="FF000000"/>
      </top>
      <bottom/>
      <diagonal/>
    </border>
    <border>
      <left/>
      <right/>
      <top style="thin">
        <color rgb="FF000000"/>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indexed="64"/>
      </left>
      <right style="double">
        <color indexed="64"/>
      </right>
      <top style="double">
        <color auto="1"/>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auto="1"/>
      </bottom>
      <diagonal/>
    </border>
    <border>
      <left style="thick">
        <color auto="1"/>
      </left>
      <right style="thin">
        <color auto="1"/>
      </right>
      <top style="thick">
        <color auto="1"/>
      </top>
      <bottom style="thin">
        <color auto="1"/>
      </bottom>
      <diagonal/>
    </border>
    <border>
      <left style="thick">
        <color auto="1"/>
      </left>
      <right style="thick">
        <color auto="1"/>
      </right>
      <top style="thick">
        <color auto="1"/>
      </top>
      <bottom/>
      <diagonal/>
    </border>
    <border>
      <left style="double">
        <color auto="1"/>
      </left>
      <right style="thick">
        <color indexed="64"/>
      </right>
      <top style="thick">
        <color auto="1"/>
      </top>
      <bottom style="thick">
        <color indexed="64"/>
      </bottom>
      <diagonal/>
    </border>
    <border>
      <left style="thick">
        <color auto="1"/>
      </left>
      <right style="double">
        <color auto="1"/>
      </right>
      <top style="thick">
        <color auto="1"/>
      </top>
      <bottom style="thick">
        <color auto="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bottom style="thin">
        <color indexed="64"/>
      </bottom>
      <diagonal/>
    </border>
    <border>
      <left style="thick">
        <color indexed="64"/>
      </left>
      <right/>
      <top style="thick">
        <color indexed="64"/>
      </top>
      <bottom style="thin">
        <color indexed="64"/>
      </bottom>
      <diagonal/>
    </border>
    <border>
      <left style="double">
        <color auto="1"/>
      </left>
      <right style="thick">
        <color auto="1"/>
      </right>
      <top style="double">
        <color auto="1"/>
      </top>
      <bottom style="thick">
        <color auto="1"/>
      </bottom>
      <diagonal/>
    </border>
    <border>
      <left style="double">
        <color auto="1"/>
      </left>
      <right style="thick">
        <color auto="1"/>
      </right>
      <top style="thin">
        <color auto="1"/>
      </top>
      <bottom/>
      <diagonal/>
    </border>
    <border>
      <left style="double">
        <color auto="1"/>
      </left>
      <right style="thick">
        <color auto="1"/>
      </right>
      <top style="thin">
        <color auto="1"/>
      </top>
      <bottom style="double">
        <color auto="1"/>
      </bottom>
      <diagonal/>
    </border>
    <border>
      <left style="thick">
        <color auto="1"/>
      </left>
      <right style="thick">
        <color auto="1"/>
      </right>
      <top/>
      <bottom style="thick">
        <color auto="1"/>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auto="1"/>
      </left>
      <right style="thick">
        <color auto="1"/>
      </right>
      <top/>
      <bottom/>
      <diagonal/>
    </border>
    <border>
      <left style="double">
        <color auto="1"/>
      </left>
      <right style="thin">
        <color auto="1"/>
      </right>
      <top style="thin">
        <color auto="1"/>
      </top>
      <bottom style="double">
        <color auto="1"/>
      </bottom>
      <diagonal/>
    </border>
    <border>
      <left style="thick">
        <color auto="1"/>
      </left>
      <right style="double">
        <color auto="1"/>
      </right>
      <top style="thick">
        <color auto="1"/>
      </top>
      <bottom/>
      <diagonal/>
    </border>
    <border>
      <left style="thick">
        <color auto="1"/>
      </left>
      <right style="double">
        <color auto="1"/>
      </right>
      <top style="double">
        <color auto="1"/>
      </top>
      <bottom style="thin">
        <color auto="1"/>
      </bottom>
      <diagonal/>
    </border>
    <border>
      <left style="thick">
        <color auto="1"/>
      </left>
      <right/>
      <top style="thin">
        <color indexed="64"/>
      </top>
      <bottom/>
      <diagonal/>
    </border>
    <border>
      <left style="thin">
        <color auto="1"/>
      </left>
      <right style="thick">
        <color indexed="64"/>
      </right>
      <top style="thick">
        <color auto="1"/>
      </top>
      <bottom style="double">
        <color auto="1"/>
      </bottom>
      <diagonal/>
    </border>
    <border>
      <left style="thin">
        <color auto="1"/>
      </left>
      <right style="thick">
        <color auto="1"/>
      </right>
      <top style="double">
        <color auto="1"/>
      </top>
      <bottom style="thin">
        <color auto="1"/>
      </bottom>
      <diagonal/>
    </border>
    <border>
      <left style="double">
        <color auto="1"/>
      </left>
      <right style="thin">
        <color auto="1"/>
      </right>
      <top style="thin">
        <color auto="1"/>
      </top>
      <bottom/>
      <diagonal/>
    </border>
    <border>
      <left style="double">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double">
        <color auto="1"/>
      </left>
      <right style="thick">
        <color auto="1"/>
      </right>
      <top style="thick">
        <color auto="1"/>
      </top>
      <bottom style="double">
        <color auto="1"/>
      </bottom>
      <diagonal/>
    </border>
    <border>
      <left style="thick">
        <color indexed="64"/>
      </left>
      <right/>
      <top/>
      <bottom style="thin">
        <color indexed="64"/>
      </bottom>
      <diagonal/>
    </border>
    <border>
      <left style="thin">
        <color auto="1"/>
      </left>
      <right style="thick">
        <color auto="1"/>
      </right>
      <top style="thick">
        <color auto="1"/>
      </top>
      <bottom/>
      <diagonal/>
    </border>
    <border>
      <left style="thick">
        <color auto="1"/>
      </left>
      <right style="thin">
        <color indexed="64"/>
      </right>
      <top style="double">
        <color auto="1"/>
      </top>
      <bottom style="thin">
        <color indexed="64"/>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ck">
        <color indexed="64"/>
      </left>
      <right style="thin">
        <color auto="1"/>
      </right>
      <top style="thick">
        <color auto="1"/>
      </top>
      <bottom/>
      <diagonal/>
    </border>
    <border>
      <left style="thick">
        <color auto="1"/>
      </left>
      <right style="thin">
        <color auto="1"/>
      </right>
      <top style="double">
        <color auto="1"/>
      </top>
      <bottom style="thick">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ck">
        <color rgb="FFFF0000"/>
      </top>
      <bottom style="thin">
        <color auto="1"/>
      </bottom>
      <diagonal/>
    </border>
    <border>
      <left style="thin">
        <color auto="1"/>
      </left>
      <right/>
      <top style="thin">
        <color auto="1"/>
      </top>
      <bottom style="double">
        <color rgb="FFFF0000"/>
      </bottom>
      <diagonal/>
    </border>
    <border>
      <left style="thin">
        <color auto="1"/>
      </left>
      <right/>
      <top style="thin">
        <color auto="1"/>
      </top>
      <bottom style="thick">
        <color rgb="FFFF0000"/>
      </bottom>
      <diagonal/>
    </border>
    <border>
      <left/>
      <right style="double">
        <color rgb="FF000000"/>
      </right>
      <top style="double">
        <color rgb="FF000000"/>
      </top>
      <bottom style="thin">
        <color rgb="FF000000"/>
      </bottom>
      <diagonal/>
    </border>
    <border>
      <left style="double">
        <color rgb="FF000000"/>
      </left>
      <right/>
      <top style="double">
        <color rgb="FF000000"/>
      </top>
      <bottom style="thin">
        <color rgb="FF000000"/>
      </bottom>
      <diagonal/>
    </border>
    <border>
      <left style="double">
        <color rgb="FF000000"/>
      </left>
      <right/>
      <top style="thin">
        <color rgb="FF000000"/>
      </top>
      <bottom style="thin">
        <color rgb="FF000000"/>
      </bottom>
      <diagonal/>
    </border>
    <border>
      <left style="thick">
        <color theme="9" tint="-0.24994659260841701"/>
      </left>
      <right style="thin">
        <color auto="1"/>
      </right>
      <top style="thick">
        <color theme="9" tint="-0.24994659260841701"/>
      </top>
      <bottom style="thick">
        <color theme="9" tint="-0.24994659260841701"/>
      </bottom>
      <diagonal/>
    </border>
    <border>
      <left style="thin">
        <color auto="1"/>
      </left>
      <right style="thin">
        <color auto="1"/>
      </right>
      <top style="thick">
        <color theme="9" tint="-0.24994659260841701"/>
      </top>
      <bottom style="thick">
        <color theme="9" tint="-0.24994659260841701"/>
      </bottom>
      <diagonal/>
    </border>
    <border>
      <left style="thin">
        <color auto="1"/>
      </left>
      <right style="thick">
        <color theme="9" tint="-0.24994659260841701"/>
      </right>
      <top style="thick">
        <color theme="9" tint="-0.24994659260841701"/>
      </top>
      <bottom style="thick">
        <color theme="9" tint="-0.24994659260841701"/>
      </bottom>
      <diagonal/>
    </border>
    <border>
      <left/>
      <right/>
      <top/>
      <bottom style="thin">
        <color auto="1"/>
      </bottom>
      <diagonal/>
    </border>
    <border>
      <left style="thin">
        <color auto="1"/>
      </left>
      <right style="thin">
        <color auto="1"/>
      </right>
      <top style="thick">
        <color theme="9" tint="-0.24994659260841701"/>
      </top>
      <bottom/>
      <diagonal/>
    </border>
    <border>
      <left/>
      <right/>
      <top style="thin">
        <color auto="1"/>
      </top>
      <bottom style="thin">
        <color auto="1"/>
      </bottom>
      <diagonal/>
    </border>
    <border>
      <left/>
      <right/>
      <top style="thin">
        <color auto="1"/>
      </top>
      <bottom/>
      <diagonal/>
    </border>
    <border>
      <left style="thin">
        <color auto="1"/>
      </left>
      <right/>
      <top style="thick">
        <color auto="1"/>
      </top>
      <bottom/>
      <diagonal/>
    </border>
    <border>
      <left style="thin">
        <color auto="1"/>
      </left>
      <right/>
      <top style="double">
        <color auto="1"/>
      </top>
      <bottom style="thick">
        <color auto="1"/>
      </bottom>
      <diagonal/>
    </border>
    <border>
      <left style="thick">
        <color auto="1"/>
      </left>
      <right style="double">
        <color auto="1"/>
      </right>
      <top style="thin">
        <color auto="1"/>
      </top>
      <bottom/>
      <diagonal/>
    </border>
    <border>
      <left style="thick">
        <color auto="1"/>
      </left>
      <right/>
      <top style="double">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thick">
        <color auto="1"/>
      </right>
      <top style="double">
        <color auto="1"/>
      </top>
      <bottom style="thin">
        <color auto="1"/>
      </bottom>
      <diagonal/>
    </border>
    <border>
      <left style="thin">
        <color indexed="64"/>
      </left>
      <right/>
      <top style="thin">
        <color indexed="64"/>
      </top>
      <bottom style="double">
        <color indexed="64"/>
      </bottom>
      <diagonal/>
    </border>
  </borders>
  <cellStyleXfs count="5">
    <xf numFmtId="0" fontId="0" fillId="0" borderId="0"/>
    <xf numFmtId="0" fontId="1"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604">
    <xf numFmtId="0" fontId="0" fillId="0" borderId="0" xfId="0"/>
    <xf numFmtId="0" fontId="0" fillId="0" borderId="0" xfId="0" applyAlignment="1">
      <alignment horizontal="center"/>
    </xf>
    <xf numFmtId="0" fontId="0" fillId="2" borderId="5" xfId="0" applyFill="1" applyBorder="1" applyAlignment="1">
      <alignment horizontal="center"/>
    </xf>
    <xf numFmtId="0" fontId="1" fillId="0" borderId="0" xfId="1"/>
    <xf numFmtId="0" fontId="0" fillId="4" borderId="17" xfId="0" applyFill="1" applyBorder="1" applyAlignment="1">
      <alignment horizontal="center"/>
    </xf>
    <xf numFmtId="0" fontId="0" fillId="4" borderId="18" xfId="0" applyFill="1" applyBorder="1" applyAlignment="1">
      <alignment horizontal="center"/>
    </xf>
    <xf numFmtId="164" fontId="0" fillId="0" borderId="0" xfId="0" applyNumberFormat="1"/>
    <xf numFmtId="0" fontId="3" fillId="0" borderId="0" xfId="0" applyFont="1"/>
    <xf numFmtId="164" fontId="0" fillId="3" borderId="2" xfId="0" applyNumberFormat="1" applyFill="1" applyBorder="1" applyAlignment="1">
      <alignment horizontal="center"/>
    </xf>
    <xf numFmtId="164" fontId="0" fillId="3" borderId="15" xfId="0" applyNumberFormat="1" applyFill="1" applyBorder="1" applyAlignment="1">
      <alignment horizontal="center"/>
    </xf>
    <xf numFmtId="15" fontId="0" fillId="4" borderId="22" xfId="0" applyNumberFormat="1" applyFill="1" applyBorder="1" applyAlignment="1">
      <alignment horizontal="center"/>
    </xf>
    <xf numFmtId="15" fontId="0" fillId="4" borderId="23" xfId="0" applyNumberFormat="1" applyFill="1" applyBorder="1" applyAlignment="1">
      <alignment horizontal="center"/>
    </xf>
    <xf numFmtId="164" fontId="0" fillId="7" borderId="20" xfId="0" applyNumberFormat="1" applyFill="1" applyBorder="1"/>
    <xf numFmtId="164" fontId="0" fillId="7" borderId="2" xfId="0" applyNumberFormat="1" applyFill="1" applyBorder="1"/>
    <xf numFmtId="164" fontId="0" fillId="7" borderId="8" xfId="0" applyNumberFormat="1" applyFill="1" applyBorder="1"/>
    <xf numFmtId="164" fontId="0" fillId="7" borderId="10" xfId="0" applyNumberFormat="1" applyFill="1" applyBorder="1"/>
    <xf numFmtId="0" fontId="0" fillId="4" borderId="25" xfId="0" applyFill="1" applyBorder="1" applyAlignment="1">
      <alignment horizontal="center"/>
    </xf>
    <xf numFmtId="164" fontId="0" fillId="3" borderId="20" xfId="0" applyNumberFormat="1" applyFill="1" applyBorder="1" applyAlignment="1">
      <alignment horizontal="center"/>
    </xf>
    <xf numFmtId="1" fontId="0" fillId="4" borderId="27" xfId="0" applyNumberFormat="1" applyFill="1" applyBorder="1" applyAlignment="1">
      <alignment horizontal="center"/>
    </xf>
    <xf numFmtId="1" fontId="0" fillId="4" borderId="28" xfId="0" applyNumberFormat="1" applyFill="1" applyBorder="1" applyAlignment="1">
      <alignment horizontal="center"/>
    </xf>
    <xf numFmtId="0" fontId="0" fillId="0" borderId="26" xfId="0" applyBorder="1"/>
    <xf numFmtId="0" fontId="0" fillId="0" borderId="29" xfId="0" applyBorder="1"/>
    <xf numFmtId="0" fontId="0" fillId="4" borderId="30" xfId="0" applyFill="1" applyBorder="1" applyAlignment="1">
      <alignment horizontal="center"/>
    </xf>
    <xf numFmtId="15" fontId="0" fillId="4" borderId="32" xfId="0" applyNumberFormat="1" applyFill="1" applyBorder="1" applyAlignment="1">
      <alignment horizontal="center"/>
    </xf>
    <xf numFmtId="0" fontId="0" fillId="0" borderId="31" xfId="0" applyBorder="1" applyAlignment="1">
      <alignment horizontal="center"/>
    </xf>
    <xf numFmtId="2" fontId="0" fillId="2" borderId="5" xfId="0" applyNumberFormat="1" applyFill="1" applyBorder="1" applyAlignment="1">
      <alignment horizontal="center"/>
    </xf>
    <xf numFmtId="167" fontId="0" fillId="0" borderId="0" xfId="0" applyNumberFormat="1"/>
    <xf numFmtId="3" fontId="0" fillId="2" borderId="5" xfId="0" applyNumberFormat="1" applyFill="1" applyBorder="1" applyAlignment="1">
      <alignment horizontal="center"/>
    </xf>
    <xf numFmtId="1" fontId="0" fillId="2" borderId="5" xfId="0" applyNumberFormat="1" applyFill="1" applyBorder="1" applyAlignment="1">
      <alignment horizontal="center"/>
    </xf>
    <xf numFmtId="168" fontId="0" fillId="0" borderId="0" xfId="0" applyNumberFormat="1"/>
    <xf numFmtId="0" fontId="0" fillId="9" borderId="50" xfId="0" applyFill="1" applyBorder="1"/>
    <xf numFmtId="0" fontId="0" fillId="9" borderId="51" xfId="0" applyFill="1" applyBorder="1"/>
    <xf numFmtId="0" fontId="0" fillId="9" borderId="53" xfId="0" applyFill="1" applyBorder="1"/>
    <xf numFmtId="0" fontId="0" fillId="9" borderId="0" xfId="0" applyFill="1"/>
    <xf numFmtId="0" fontId="0" fillId="9" borderId="55" xfId="0" applyFill="1" applyBorder="1"/>
    <xf numFmtId="0" fontId="0" fillId="9" borderId="56" xfId="0" applyFill="1" applyBorder="1"/>
    <xf numFmtId="0" fontId="0" fillId="9" borderId="57" xfId="0" applyFill="1" applyBorder="1"/>
    <xf numFmtId="4" fontId="0" fillId="2" borderId="5" xfId="0" applyNumberFormat="1" applyFill="1" applyBorder="1" applyAlignment="1">
      <alignment horizontal="center"/>
    </xf>
    <xf numFmtId="0" fontId="0" fillId="9" borderId="0" xfId="0" applyFill="1" applyAlignment="1">
      <alignment horizontal="left"/>
    </xf>
    <xf numFmtId="0" fontId="3" fillId="9" borderId="0" xfId="0" applyFont="1" applyFill="1"/>
    <xf numFmtId="10" fontId="0" fillId="0" borderId="0" xfId="0" applyNumberFormat="1"/>
    <xf numFmtId="9" fontId="0" fillId="0" borderId="0" xfId="0" applyNumberFormat="1"/>
    <xf numFmtId="0" fontId="0" fillId="0" borderId="0" xfId="0" applyAlignment="1">
      <alignment horizontal="right"/>
    </xf>
    <xf numFmtId="0" fontId="0" fillId="0" borderId="0" xfId="0" applyAlignment="1">
      <alignment horizontal="left"/>
    </xf>
    <xf numFmtId="0" fontId="1" fillId="0" borderId="0" xfId="1" applyNumberFormat="1"/>
    <xf numFmtId="165" fontId="0" fillId="3" borderId="65" xfId="0" applyNumberFormat="1" applyFill="1" applyBorder="1" applyAlignment="1">
      <alignment horizontal="center"/>
    </xf>
    <xf numFmtId="165" fontId="0" fillId="3" borderId="10" xfId="0" applyNumberFormat="1" applyFill="1" applyBorder="1" applyAlignment="1">
      <alignment horizontal="center"/>
    </xf>
    <xf numFmtId="165" fontId="0" fillId="3" borderId="60" xfId="0" applyNumberFormat="1" applyFill="1" applyBorder="1" applyAlignment="1">
      <alignment horizontal="center"/>
    </xf>
    <xf numFmtId="10" fontId="7" fillId="3" borderId="45" xfId="0" applyNumberFormat="1" applyFont="1" applyFill="1" applyBorder="1" applyAlignment="1">
      <alignment horizontal="center"/>
    </xf>
    <xf numFmtId="164" fontId="7" fillId="3" borderId="49" xfId="0" applyNumberFormat="1" applyFont="1" applyFill="1" applyBorder="1" applyAlignment="1">
      <alignment horizontal="center"/>
    </xf>
    <xf numFmtId="0" fontId="0" fillId="3" borderId="2" xfId="0" applyFill="1" applyBorder="1" applyAlignment="1">
      <alignment horizontal="center"/>
    </xf>
    <xf numFmtId="164" fontId="0" fillId="7" borderId="9" xfId="0" applyNumberFormat="1" applyFill="1" applyBorder="1" applyAlignment="1">
      <alignment horizontal="center"/>
    </xf>
    <xf numFmtId="164" fontId="0" fillId="7" borderId="11" xfId="0" applyNumberFormat="1" applyFill="1" applyBorder="1" applyAlignment="1">
      <alignment horizontal="center"/>
    </xf>
    <xf numFmtId="10" fontId="5" fillId="3" borderId="71" xfId="0" applyNumberFormat="1" applyFont="1" applyFill="1" applyBorder="1" applyAlignment="1">
      <alignment horizontal="center" vertical="center" wrapText="1"/>
    </xf>
    <xf numFmtId="10" fontId="5" fillId="3" borderId="72" xfId="0" applyNumberFormat="1" applyFont="1" applyFill="1" applyBorder="1" applyAlignment="1">
      <alignment horizontal="center" vertical="center" wrapText="1"/>
    </xf>
    <xf numFmtId="10" fontId="5" fillId="3" borderId="76" xfId="0" applyNumberFormat="1" applyFont="1" applyFill="1" applyBorder="1" applyAlignment="1">
      <alignment horizontal="center" vertical="center" wrapText="1"/>
    </xf>
    <xf numFmtId="0" fontId="0" fillId="11" borderId="50" xfId="0" applyFill="1" applyBorder="1"/>
    <xf numFmtId="0" fontId="0" fillId="11" borderId="51" xfId="0" applyFill="1" applyBorder="1"/>
    <xf numFmtId="0" fontId="3" fillId="11" borderId="53" xfId="0" applyFont="1" applyFill="1" applyBorder="1"/>
    <xf numFmtId="0" fontId="0" fillId="11" borderId="0" xfId="0" applyFill="1"/>
    <xf numFmtId="0" fontId="0" fillId="11" borderId="53" xfId="0" applyFill="1" applyBorder="1"/>
    <xf numFmtId="0" fontId="0" fillId="11" borderId="0" xfId="0" applyFill="1" applyAlignment="1">
      <alignment horizontal="right"/>
    </xf>
    <xf numFmtId="0" fontId="0" fillId="11" borderId="55" xfId="0" applyFill="1" applyBorder="1"/>
    <xf numFmtId="0" fontId="0" fillId="11" borderId="56" xfId="0" applyFill="1" applyBorder="1"/>
    <xf numFmtId="0" fontId="0" fillId="11" borderId="52" xfId="0" applyFill="1" applyBorder="1"/>
    <xf numFmtId="0" fontId="0" fillId="11" borderId="54" xfId="0" applyFill="1" applyBorder="1"/>
    <xf numFmtId="0" fontId="0" fillId="11" borderId="0" xfId="0" applyFill="1" applyAlignment="1">
      <alignment horizontal="center"/>
    </xf>
    <xf numFmtId="0" fontId="0" fillId="11" borderId="57" xfId="0" applyFill="1" applyBorder="1"/>
    <xf numFmtId="0" fontId="6" fillId="0" borderId="0" xfId="0" applyFont="1" applyAlignment="1">
      <alignment horizontal="center" vertical="center" wrapText="1"/>
    </xf>
    <xf numFmtId="10" fontId="5" fillId="0" borderId="0" xfId="0" applyNumberFormat="1" applyFont="1" applyAlignment="1">
      <alignment horizontal="center" vertical="center" wrapText="1"/>
    </xf>
    <xf numFmtId="0" fontId="0" fillId="12" borderId="82" xfId="0" applyFill="1" applyBorder="1" applyAlignment="1">
      <alignment horizontal="center"/>
    </xf>
    <xf numFmtId="0" fontId="0" fillId="12" borderId="77" xfId="0" applyFill="1" applyBorder="1" applyAlignment="1">
      <alignment horizontal="center"/>
    </xf>
    <xf numFmtId="0" fontId="0" fillId="12" borderId="78" xfId="0" applyFill="1" applyBorder="1" applyAlignment="1">
      <alignment horizontal="center"/>
    </xf>
    <xf numFmtId="0" fontId="3" fillId="12" borderId="67" xfId="0" applyFont="1" applyFill="1" applyBorder="1" applyAlignment="1">
      <alignment horizontal="center"/>
    </xf>
    <xf numFmtId="0" fontId="0" fillId="12" borderId="66" xfId="0" applyFill="1" applyBorder="1" applyAlignment="1">
      <alignment horizontal="right"/>
    </xf>
    <xf numFmtId="0" fontId="0" fillId="12" borderId="46" xfId="0" applyFill="1" applyBorder="1" applyAlignment="1">
      <alignment horizontal="right"/>
    </xf>
    <xf numFmtId="0" fontId="0" fillId="12" borderId="48" xfId="0" applyFill="1" applyBorder="1" applyAlignment="1">
      <alignment horizontal="right"/>
    </xf>
    <xf numFmtId="0" fontId="3" fillId="12" borderId="63" xfId="0" applyFont="1" applyFill="1" applyBorder="1" applyAlignment="1">
      <alignment horizontal="center"/>
    </xf>
    <xf numFmtId="0" fontId="3" fillId="12" borderId="33" xfId="0" applyFont="1" applyFill="1" applyBorder="1" applyAlignment="1">
      <alignment horizontal="center"/>
    </xf>
    <xf numFmtId="0" fontId="0" fillId="12" borderId="44" xfId="0" applyFill="1" applyBorder="1" applyAlignment="1">
      <alignment horizontal="right"/>
    </xf>
    <xf numFmtId="0" fontId="6" fillId="12" borderId="73" xfId="0" applyFont="1" applyFill="1" applyBorder="1" applyAlignment="1">
      <alignment horizontal="center" vertical="center" wrapText="1"/>
    </xf>
    <xf numFmtId="0" fontId="5" fillId="12" borderId="69" xfId="0" applyFont="1" applyFill="1" applyBorder="1" applyAlignment="1">
      <alignment horizontal="center" vertical="center" wrapText="1"/>
    </xf>
    <xf numFmtId="0" fontId="5" fillId="12" borderId="70" xfId="0" applyFont="1" applyFill="1" applyBorder="1" applyAlignment="1">
      <alignment horizontal="center" vertical="center" wrapText="1"/>
    </xf>
    <xf numFmtId="0" fontId="5" fillId="12" borderId="75" xfId="0" applyFont="1" applyFill="1" applyBorder="1" applyAlignment="1">
      <alignment horizontal="center" vertical="center" wrapText="1"/>
    </xf>
    <xf numFmtId="0" fontId="6" fillId="12" borderId="74" xfId="0" applyFont="1" applyFill="1" applyBorder="1" applyAlignment="1">
      <alignment horizontal="center" vertical="center" wrapText="1"/>
    </xf>
    <xf numFmtId="10" fontId="5" fillId="3" borderId="38" xfId="0" applyNumberFormat="1" applyFont="1" applyFill="1" applyBorder="1" applyAlignment="1">
      <alignment horizontal="center" vertical="center" wrapText="1"/>
    </xf>
    <xf numFmtId="164" fontId="0" fillId="7" borderId="4" xfId="0" applyNumberFormat="1" applyFill="1" applyBorder="1"/>
    <xf numFmtId="169" fontId="0" fillId="0" borderId="0" xfId="0" applyNumberFormat="1"/>
    <xf numFmtId="0" fontId="3" fillId="5" borderId="33" xfId="0" applyFont="1" applyFill="1" applyBorder="1" applyAlignment="1">
      <alignment horizontal="center"/>
    </xf>
    <xf numFmtId="164" fontId="0" fillId="5" borderId="34" xfId="0" applyNumberFormat="1" applyFill="1" applyBorder="1"/>
    <xf numFmtId="164" fontId="0" fillId="5" borderId="2" xfId="0" applyNumberFormat="1" applyFill="1" applyBorder="1"/>
    <xf numFmtId="164" fontId="0" fillId="5" borderId="4" xfId="0" applyNumberFormat="1" applyFill="1" applyBorder="1"/>
    <xf numFmtId="164" fontId="0" fillId="7" borderId="6" xfId="0" applyNumberFormat="1" applyFill="1" applyBorder="1"/>
    <xf numFmtId="164" fontId="0" fillId="7" borderId="7" xfId="0" applyNumberFormat="1" applyFill="1" applyBorder="1"/>
    <xf numFmtId="164" fontId="0" fillId="7" borderId="47" xfId="0" applyNumberFormat="1" applyFill="1" applyBorder="1"/>
    <xf numFmtId="164" fontId="0" fillId="7" borderId="49" xfId="0" applyNumberFormat="1" applyFill="1" applyBorder="1"/>
    <xf numFmtId="0" fontId="0" fillId="12" borderId="85" xfId="0" applyFill="1" applyBorder="1" applyAlignment="1">
      <alignment horizontal="right"/>
    </xf>
    <xf numFmtId="164" fontId="7" fillId="3" borderId="84" xfId="0" applyNumberFormat="1" applyFont="1" applyFill="1" applyBorder="1" applyAlignment="1">
      <alignment horizontal="center"/>
    </xf>
    <xf numFmtId="164" fontId="0" fillId="7" borderId="79" xfId="0" applyNumberFormat="1" applyFill="1" applyBorder="1"/>
    <xf numFmtId="164" fontId="0" fillId="7" borderId="21" xfId="0" applyNumberFormat="1" applyFill="1" applyBorder="1"/>
    <xf numFmtId="164" fontId="0" fillId="7" borderId="80" xfId="0" applyNumberFormat="1" applyFill="1" applyBorder="1"/>
    <xf numFmtId="164" fontId="0" fillId="7" borderId="81" xfId="0" applyNumberFormat="1" applyFill="1" applyBorder="1"/>
    <xf numFmtId="164" fontId="0" fillId="7" borderId="60" xfId="0" applyNumberFormat="1" applyFill="1" applyBorder="1"/>
    <xf numFmtId="10" fontId="0" fillId="3" borderId="40" xfId="0" applyNumberFormat="1" applyFill="1" applyBorder="1"/>
    <xf numFmtId="0" fontId="0" fillId="3" borderId="41" xfId="0" applyFill="1" applyBorder="1"/>
    <xf numFmtId="168" fontId="0" fillId="7" borderId="41" xfId="0" applyNumberFormat="1" applyFill="1" applyBorder="1"/>
    <xf numFmtId="168" fontId="0" fillId="7" borderId="42" xfId="0" applyNumberFormat="1" applyFill="1" applyBorder="1"/>
    <xf numFmtId="10" fontId="0" fillId="9" borderId="40" xfId="0" applyNumberFormat="1" applyFill="1" applyBorder="1"/>
    <xf numFmtId="0" fontId="0" fillId="9" borderId="41" xfId="0" applyFill="1" applyBorder="1"/>
    <xf numFmtId="168" fontId="0" fillId="3" borderId="83" xfId="0" applyNumberFormat="1" applyFill="1" applyBorder="1"/>
    <xf numFmtId="168" fontId="0" fillId="7" borderId="40" xfId="0" applyNumberFormat="1" applyFill="1" applyBorder="1"/>
    <xf numFmtId="10" fontId="0" fillId="2" borderId="5" xfId="0" applyNumberFormat="1" applyFill="1" applyBorder="1" applyAlignment="1">
      <alignment horizontal="center"/>
    </xf>
    <xf numFmtId="1" fontId="0" fillId="11" borderId="5" xfId="0" applyNumberFormat="1" applyFill="1" applyBorder="1" applyAlignment="1">
      <alignment horizontal="center"/>
    </xf>
    <xf numFmtId="169" fontId="0" fillId="11" borderId="5" xfId="0" applyNumberFormat="1" applyFill="1" applyBorder="1" applyAlignment="1">
      <alignment horizontal="center"/>
    </xf>
    <xf numFmtId="0" fontId="0" fillId="6" borderId="37" xfId="0" quotePrefix="1" applyFill="1" applyBorder="1" applyAlignment="1">
      <alignment horizontal="center"/>
    </xf>
    <xf numFmtId="166" fontId="0" fillId="6" borderId="38" xfId="0" applyNumberFormat="1" applyFill="1" applyBorder="1" applyAlignment="1">
      <alignment horizontal="center"/>
    </xf>
    <xf numFmtId="0" fontId="0" fillId="6" borderId="39" xfId="0" applyFill="1" applyBorder="1" applyAlignment="1">
      <alignment horizontal="center"/>
    </xf>
    <xf numFmtId="0" fontId="0" fillId="6" borderId="38" xfId="0" applyFill="1" applyBorder="1" applyAlignment="1">
      <alignment horizontal="center"/>
    </xf>
    <xf numFmtId="16" fontId="0" fillId="6" borderId="38" xfId="0" applyNumberFormat="1" applyFill="1" applyBorder="1" applyAlignment="1">
      <alignment horizontal="center"/>
    </xf>
    <xf numFmtId="170" fontId="0" fillId="0" borderId="0" xfId="0" applyNumberFormat="1"/>
    <xf numFmtId="0" fontId="0" fillId="13" borderId="51" xfId="0" applyFill="1" applyBorder="1"/>
    <xf numFmtId="0" fontId="0" fillId="13" borderId="52" xfId="0" applyFill="1" applyBorder="1"/>
    <xf numFmtId="0" fontId="0" fillId="13" borderId="0" xfId="0" applyFill="1"/>
    <xf numFmtId="0" fontId="0" fillId="13" borderId="54" xfId="0" applyFill="1" applyBorder="1"/>
    <xf numFmtId="0" fontId="3" fillId="13" borderId="0" xfId="0" applyFont="1" applyFill="1"/>
    <xf numFmtId="0" fontId="0" fillId="13" borderId="56" xfId="0" applyFill="1" applyBorder="1"/>
    <xf numFmtId="0" fontId="0" fillId="13" borderId="57" xfId="0" applyFill="1" applyBorder="1"/>
    <xf numFmtId="0" fontId="0" fillId="13" borderId="50" xfId="0" applyFill="1" applyBorder="1"/>
    <xf numFmtId="0" fontId="1" fillId="13" borderId="0" xfId="1" applyFill="1" applyBorder="1"/>
    <xf numFmtId="2" fontId="0" fillId="13" borderId="0" xfId="0" applyNumberFormat="1" applyFill="1"/>
    <xf numFmtId="0" fontId="0" fillId="13" borderId="53" xfId="0" applyFill="1" applyBorder="1"/>
    <xf numFmtId="167" fontId="0" fillId="13" borderId="0" xfId="0" applyNumberFormat="1" applyFill="1"/>
    <xf numFmtId="0" fontId="3" fillId="13" borderId="0" xfId="0" applyFont="1" applyFill="1" applyAlignment="1">
      <alignment horizontal="center"/>
    </xf>
    <xf numFmtId="0" fontId="3" fillId="13" borderId="0" xfId="0" applyFont="1" applyFill="1" applyAlignment="1">
      <alignment horizontal="left"/>
    </xf>
    <xf numFmtId="0" fontId="3" fillId="13" borderId="0" xfId="0" applyFont="1" applyFill="1" applyAlignment="1">
      <alignment horizontal="right"/>
    </xf>
    <xf numFmtId="1" fontId="0" fillId="13" borderId="0" xfId="0" applyNumberFormat="1" applyFill="1"/>
    <xf numFmtId="14" fontId="0" fillId="13" borderId="0" xfId="0" applyNumberFormat="1" applyFill="1"/>
    <xf numFmtId="0" fontId="0" fillId="13" borderId="0" xfId="0" applyFill="1" applyAlignment="1">
      <alignment vertical="center"/>
    </xf>
    <xf numFmtId="0" fontId="0" fillId="13" borderId="55" xfId="0" applyFill="1" applyBorder="1"/>
    <xf numFmtId="0" fontId="0" fillId="13" borderId="0" xfId="0" applyFill="1" applyAlignment="1">
      <alignment horizontal="center"/>
    </xf>
    <xf numFmtId="1" fontId="3" fillId="13" borderId="0" xfId="0" applyNumberFormat="1" applyFont="1" applyFill="1" applyAlignment="1">
      <alignment horizontal="center"/>
    </xf>
    <xf numFmtId="4" fontId="0" fillId="13" borderId="0" xfId="0" applyNumberFormat="1" applyFill="1"/>
    <xf numFmtId="0" fontId="0" fillId="14" borderId="44" xfId="0" applyFill="1" applyBorder="1" applyAlignment="1">
      <alignment horizontal="right"/>
    </xf>
    <xf numFmtId="0" fontId="0" fillId="14" borderId="46" xfId="0" applyFill="1" applyBorder="1" applyAlignment="1">
      <alignment horizontal="right"/>
    </xf>
    <xf numFmtId="0" fontId="0" fillId="14" borderId="48" xfId="0" applyFill="1" applyBorder="1" applyAlignment="1">
      <alignment horizontal="right"/>
    </xf>
    <xf numFmtId="168" fontId="0" fillId="7" borderId="90" xfId="0" applyNumberFormat="1" applyFill="1" applyBorder="1"/>
    <xf numFmtId="44" fontId="0" fillId="7" borderId="47" xfId="0" applyNumberFormat="1" applyFill="1" applyBorder="1"/>
    <xf numFmtId="10" fontId="0" fillId="3" borderId="92" xfId="0" applyNumberFormat="1" applyFill="1" applyBorder="1"/>
    <xf numFmtId="10" fontId="0" fillId="3" borderId="45" xfId="0" applyNumberFormat="1" applyFill="1" applyBorder="1"/>
    <xf numFmtId="0" fontId="0" fillId="3" borderId="45" xfId="0" applyFill="1" applyBorder="1"/>
    <xf numFmtId="168" fontId="0" fillId="3" borderId="91" xfId="0" applyNumberFormat="1" applyFill="1" applyBorder="1"/>
    <xf numFmtId="169" fontId="0" fillId="3" borderId="91" xfId="0" applyNumberFormat="1" applyFill="1" applyBorder="1"/>
    <xf numFmtId="44" fontId="0" fillId="3" borderId="45" xfId="0" applyNumberFormat="1" applyFill="1" applyBorder="1"/>
    <xf numFmtId="44" fontId="0" fillId="3" borderId="47" xfId="0" applyNumberFormat="1" applyFill="1" applyBorder="1"/>
    <xf numFmtId="44" fontId="0" fillId="7" borderId="49" xfId="0" applyNumberFormat="1" applyFill="1" applyBorder="1"/>
    <xf numFmtId="10" fontId="0" fillId="3" borderId="47" xfId="0" applyNumberFormat="1" applyFill="1" applyBorder="1"/>
    <xf numFmtId="164" fontId="0" fillId="3" borderId="47" xfId="0" applyNumberFormat="1" applyFill="1" applyBorder="1"/>
    <xf numFmtId="10" fontId="0" fillId="3" borderId="91" xfId="0" applyNumberFormat="1" applyFill="1" applyBorder="1" applyAlignment="1">
      <alignment horizontal="right"/>
    </xf>
    <xf numFmtId="164" fontId="0" fillId="7" borderId="90" xfId="0" applyNumberFormat="1" applyFill="1" applyBorder="1" applyAlignment="1">
      <alignment horizontal="right"/>
    </xf>
    <xf numFmtId="0" fontId="0" fillId="3" borderId="1" xfId="0" applyFill="1" applyBorder="1" applyAlignment="1">
      <alignment horizontal="center"/>
    </xf>
    <xf numFmtId="0" fontId="0" fillId="3" borderId="6" xfId="0" applyFill="1" applyBorder="1" applyAlignment="1">
      <alignment horizontal="center"/>
    </xf>
    <xf numFmtId="10" fontId="0" fillId="3" borderId="37" xfId="0" applyNumberFormat="1" applyFill="1" applyBorder="1" applyAlignment="1">
      <alignment horizontal="center"/>
    </xf>
    <xf numFmtId="10" fontId="0" fillId="3" borderId="38" xfId="0" applyNumberFormat="1" applyFill="1" applyBorder="1" applyAlignment="1">
      <alignment horizontal="center"/>
    </xf>
    <xf numFmtId="10" fontId="0" fillId="3" borderId="39" xfId="0" applyNumberFormat="1" applyFill="1" applyBorder="1" applyAlignment="1">
      <alignment horizontal="center"/>
    </xf>
    <xf numFmtId="10" fontId="0" fillId="7" borderId="8" xfId="0" applyNumberFormat="1" applyFill="1" applyBorder="1" applyAlignment="1">
      <alignment horizontal="center"/>
    </xf>
    <xf numFmtId="10" fontId="0" fillId="7" borderId="20" xfId="0" applyNumberFormat="1" applyFill="1" applyBorder="1" applyAlignment="1">
      <alignment horizontal="center"/>
    </xf>
    <xf numFmtId="10" fontId="0" fillId="7" borderId="21" xfId="0" applyNumberFormat="1" applyFill="1" applyBorder="1" applyAlignment="1">
      <alignment horizontal="center"/>
    </xf>
    <xf numFmtId="168" fontId="0" fillId="7" borderId="10" xfId="0" applyNumberFormat="1" applyFill="1" applyBorder="1" applyAlignment="1">
      <alignment horizontal="center"/>
    </xf>
    <xf numFmtId="168" fontId="0" fillId="7" borderId="2" xfId="0" applyNumberFormat="1" applyFill="1" applyBorder="1" applyAlignment="1">
      <alignment horizontal="center"/>
    </xf>
    <xf numFmtId="168" fontId="0" fillId="7" borderId="6" xfId="0" applyNumberFormat="1" applyFill="1" applyBorder="1" applyAlignment="1">
      <alignment horizontal="center"/>
    </xf>
    <xf numFmtId="168" fontId="0" fillId="7" borderId="60" xfId="0" applyNumberFormat="1" applyFill="1" applyBorder="1" applyAlignment="1">
      <alignment horizontal="center"/>
    </xf>
    <xf numFmtId="168" fontId="0" fillId="7" borderId="4" xfId="0" applyNumberFormat="1" applyFill="1" applyBorder="1" applyAlignment="1">
      <alignment horizontal="center"/>
    </xf>
    <xf numFmtId="168" fontId="0" fillId="7" borderId="7" xfId="0" applyNumberFormat="1" applyFill="1" applyBorder="1" applyAlignment="1">
      <alignment horizontal="center"/>
    </xf>
    <xf numFmtId="171" fontId="0" fillId="12" borderId="46" xfId="0" applyNumberFormat="1" applyFill="1" applyBorder="1"/>
    <xf numFmtId="171" fontId="0" fillId="12" borderId="48" xfId="0" applyNumberFormat="1" applyFill="1" applyBorder="1"/>
    <xf numFmtId="0" fontId="0" fillId="3" borderId="82" xfId="0" applyFill="1" applyBorder="1" applyAlignment="1">
      <alignment horizontal="center"/>
    </xf>
    <xf numFmtId="0" fontId="0" fillId="3" borderId="78" xfId="0" applyFill="1" applyBorder="1" applyAlignment="1">
      <alignment horizontal="center"/>
    </xf>
    <xf numFmtId="9" fontId="0" fillId="3" borderId="97" xfId="0" applyNumberFormat="1" applyFill="1" applyBorder="1" applyAlignment="1">
      <alignment horizontal="center"/>
    </xf>
    <xf numFmtId="9" fontId="0" fillId="3" borderId="39" xfId="0" applyNumberFormat="1" applyFill="1" applyBorder="1" applyAlignment="1">
      <alignment horizontal="center"/>
    </xf>
    <xf numFmtId="164" fontId="0" fillId="7" borderId="8" xfId="0" applyNumberFormat="1" applyFill="1" applyBorder="1" applyAlignment="1">
      <alignment horizontal="center"/>
    </xf>
    <xf numFmtId="164" fontId="0" fillId="7" borderId="21" xfId="0" applyNumberFormat="1" applyFill="1" applyBorder="1" applyAlignment="1">
      <alignment horizontal="center"/>
    </xf>
    <xf numFmtId="0" fontId="0" fillId="3" borderId="89" xfId="0" applyFill="1" applyBorder="1" applyAlignment="1">
      <alignment horizontal="center"/>
    </xf>
    <xf numFmtId="42" fontId="0" fillId="3" borderId="45" xfId="0" applyNumberFormat="1" applyFill="1" applyBorder="1" applyAlignment="1">
      <alignment horizontal="center"/>
    </xf>
    <xf numFmtId="0" fontId="0" fillId="3" borderId="35" xfId="0" applyFill="1" applyBorder="1" applyAlignment="1">
      <alignment horizontal="center"/>
    </xf>
    <xf numFmtId="42" fontId="0" fillId="3" borderId="47" xfId="0" applyNumberFormat="1" applyFill="1" applyBorder="1" applyAlignment="1">
      <alignment horizontal="center"/>
    </xf>
    <xf numFmtId="0" fontId="0" fillId="3" borderId="91" xfId="0" applyFill="1" applyBorder="1"/>
    <xf numFmtId="0" fontId="0" fillId="14" borderId="98" xfId="0" applyFill="1" applyBorder="1" applyAlignment="1">
      <alignment horizontal="center"/>
    </xf>
    <xf numFmtId="0" fontId="0" fillId="14" borderId="64" xfId="0" applyFill="1" applyBorder="1" applyAlignment="1">
      <alignment horizontal="center"/>
    </xf>
    <xf numFmtId="0" fontId="0" fillId="14" borderId="44" xfId="0" applyFill="1" applyBorder="1"/>
    <xf numFmtId="0" fontId="0" fillId="14" borderId="45" xfId="0" applyFill="1" applyBorder="1"/>
    <xf numFmtId="0" fontId="0" fillId="3" borderId="99" xfId="0" applyFill="1" applyBorder="1"/>
    <xf numFmtId="10" fontId="0" fillId="3" borderId="62" xfId="0" applyNumberFormat="1" applyFill="1" applyBorder="1" applyAlignment="1">
      <alignment horizontal="center"/>
    </xf>
    <xf numFmtId="0" fontId="0" fillId="3" borderId="46" xfId="0" applyFill="1" applyBorder="1"/>
    <xf numFmtId="2" fontId="0" fillId="3" borderId="47" xfId="0" applyNumberFormat="1" applyFill="1" applyBorder="1"/>
    <xf numFmtId="10" fontId="0" fillId="3" borderId="47" xfId="0" applyNumberFormat="1" applyFill="1" applyBorder="1" applyAlignment="1">
      <alignment horizontal="center"/>
    </xf>
    <xf numFmtId="0" fontId="0" fillId="3" borderId="48" xfId="0" applyFill="1" applyBorder="1"/>
    <xf numFmtId="2" fontId="0" fillId="3" borderId="49" xfId="0" applyNumberFormat="1" applyFill="1" applyBorder="1"/>
    <xf numFmtId="10" fontId="0" fillId="3" borderId="49" xfId="0" applyNumberFormat="1" applyFill="1" applyBorder="1" applyAlignment="1">
      <alignment horizontal="center"/>
    </xf>
    <xf numFmtId="0" fontId="1" fillId="0" borderId="0" xfId="1" applyFill="1" applyBorder="1" applyAlignment="1">
      <alignment horizontal="right"/>
    </xf>
    <xf numFmtId="0" fontId="0" fillId="0" borderId="57" xfId="0" applyBorder="1"/>
    <xf numFmtId="0" fontId="0" fillId="12" borderId="35" xfId="0" applyFill="1" applyBorder="1" applyAlignment="1">
      <alignment horizontal="right"/>
    </xf>
    <xf numFmtId="3" fontId="0" fillId="3" borderId="65" xfId="0" applyNumberFormat="1" applyFill="1" applyBorder="1"/>
    <xf numFmtId="3" fontId="0" fillId="3" borderId="34" xfId="0" applyNumberFormat="1" applyFill="1" applyBorder="1"/>
    <xf numFmtId="3" fontId="0" fillId="3" borderId="86" xfId="0" applyNumberFormat="1" applyFill="1" applyBorder="1"/>
    <xf numFmtId="3" fontId="0" fillId="3" borderId="2" xfId="0" applyNumberFormat="1" applyFill="1" applyBorder="1"/>
    <xf numFmtId="0" fontId="0" fillId="3" borderId="86" xfId="0" applyFill="1" applyBorder="1"/>
    <xf numFmtId="0" fontId="0" fillId="3" borderId="2" xfId="0" applyFill="1" applyBorder="1"/>
    <xf numFmtId="0" fontId="0" fillId="3" borderId="103" xfId="0" applyFill="1" applyBorder="1"/>
    <xf numFmtId="0" fontId="0" fillId="3" borderId="68" xfId="0" applyFill="1" applyBorder="1"/>
    <xf numFmtId="0" fontId="0" fillId="12" borderId="36" xfId="0" applyFill="1" applyBorder="1" applyAlignment="1">
      <alignment horizontal="right"/>
    </xf>
    <xf numFmtId="3" fontId="0" fillId="7" borderId="104" xfId="0" applyNumberFormat="1" applyFill="1" applyBorder="1"/>
    <xf numFmtId="3" fontId="0" fillId="7" borderId="105" xfId="0" applyNumberFormat="1" applyFill="1" applyBorder="1"/>
    <xf numFmtId="0" fontId="0" fillId="12" borderId="67" xfId="0" applyFill="1" applyBorder="1" applyAlignment="1">
      <alignment horizontal="center"/>
    </xf>
    <xf numFmtId="0" fontId="0" fillId="12" borderId="107" xfId="0" applyFill="1" applyBorder="1" applyAlignment="1">
      <alignment horizontal="center"/>
    </xf>
    <xf numFmtId="0" fontId="0" fillId="12" borderId="63" xfId="0" applyFill="1" applyBorder="1" applyAlignment="1">
      <alignment horizontal="center" vertical="center"/>
    </xf>
    <xf numFmtId="0" fontId="0" fillId="12" borderId="33" xfId="0" applyFill="1" applyBorder="1" applyAlignment="1">
      <alignment horizontal="center" vertical="center"/>
    </xf>
    <xf numFmtId="0" fontId="0" fillId="12" borderId="109" xfId="0" applyFill="1" applyBorder="1" applyAlignment="1">
      <alignment horizontal="center" vertical="center"/>
    </xf>
    <xf numFmtId="0" fontId="0" fillId="12" borderId="63" xfId="0" applyFill="1" applyBorder="1" applyAlignment="1">
      <alignment horizontal="center"/>
    </xf>
    <xf numFmtId="0" fontId="0" fillId="12" borderId="109" xfId="0" applyFill="1" applyBorder="1" applyAlignment="1">
      <alignment horizontal="center"/>
    </xf>
    <xf numFmtId="0" fontId="0" fillId="12" borderId="108" xfId="0" applyFill="1" applyBorder="1" applyAlignment="1">
      <alignment horizontal="right" wrapText="1"/>
    </xf>
    <xf numFmtId="0" fontId="0" fillId="3" borderId="65" xfId="0" applyFill="1" applyBorder="1" applyAlignment="1">
      <alignment horizontal="center" vertical="center"/>
    </xf>
    <xf numFmtId="0" fontId="0" fillId="3" borderId="34" xfId="0" applyFill="1" applyBorder="1" applyAlignment="1">
      <alignment horizontal="center" vertical="center"/>
    </xf>
    <xf numFmtId="0" fontId="0" fillId="3" borderId="102" xfId="0" applyFill="1" applyBorder="1" applyAlignment="1">
      <alignment horizontal="center" vertical="center"/>
    </xf>
    <xf numFmtId="0" fontId="0" fillId="12" borderId="108" xfId="0" applyFill="1" applyBorder="1" applyAlignment="1">
      <alignment horizontal="right"/>
    </xf>
    <xf numFmtId="9" fontId="0" fillId="3" borderId="65" xfId="0" applyNumberFormat="1" applyFill="1" applyBorder="1" applyAlignment="1">
      <alignment horizontal="center"/>
    </xf>
    <xf numFmtId="9" fontId="0" fillId="3" borderId="102" xfId="0" applyNumberFormat="1" applyFill="1" applyBorder="1" applyAlignment="1">
      <alignment horizontal="center"/>
    </xf>
    <xf numFmtId="0" fontId="0" fillId="12" borderId="35" xfId="0" applyFill="1" applyBorder="1" applyAlignment="1">
      <alignment horizontal="right" wrapText="1"/>
    </xf>
    <xf numFmtId="0" fontId="0" fillId="3" borderId="86" xfId="0" applyFill="1" applyBorder="1" applyAlignment="1">
      <alignment horizontal="center" vertical="center"/>
    </xf>
    <xf numFmtId="9" fontId="0" fillId="3" borderId="2" xfId="0" applyNumberFormat="1" applyFill="1" applyBorder="1" applyAlignment="1">
      <alignment horizontal="center" vertical="center"/>
    </xf>
    <xf numFmtId="9" fontId="0" fillId="3" borderId="6" xfId="0" applyNumberFormat="1" applyFill="1" applyBorder="1" applyAlignment="1">
      <alignment horizontal="center" vertical="center"/>
    </xf>
    <xf numFmtId="9" fontId="0" fillId="3" borderId="87" xfId="0" applyNumberFormat="1" applyFill="1" applyBorder="1" applyAlignment="1">
      <alignment horizontal="center"/>
    </xf>
    <xf numFmtId="9" fontId="0" fillId="3" borderId="7" xfId="0" applyNumberFormat="1" applyFill="1" applyBorder="1" applyAlignment="1">
      <alignment horizont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12" borderId="36" xfId="0" applyFill="1" applyBorder="1" applyAlignment="1">
      <alignment horizontal="right" wrapText="1"/>
    </xf>
    <xf numFmtId="10" fontId="0" fillId="3" borderId="87" xfId="0" applyNumberFormat="1" applyFill="1" applyBorder="1" applyAlignment="1">
      <alignment horizontal="center" vertical="center"/>
    </xf>
    <xf numFmtId="10" fontId="0" fillId="3" borderId="4" xfId="0" applyNumberFormat="1" applyFill="1" applyBorder="1" applyAlignment="1">
      <alignment horizontal="center" vertical="center"/>
    </xf>
    <xf numFmtId="10" fontId="0" fillId="3" borderId="7" xfId="0" applyNumberFormat="1" applyFill="1" applyBorder="1" applyAlignment="1">
      <alignment horizontal="center" vertical="center"/>
    </xf>
    <xf numFmtId="0" fontId="2" fillId="0" borderId="0" xfId="0" applyFont="1"/>
    <xf numFmtId="0" fontId="2" fillId="4" borderId="83" xfId="0" applyFont="1" applyFill="1" applyBorder="1" applyAlignment="1">
      <alignment horizontal="center"/>
    </xf>
    <xf numFmtId="0" fontId="2" fillId="0" borderId="57" xfId="0" applyFont="1" applyBorder="1"/>
    <xf numFmtId="0" fontId="2" fillId="4" borderId="63" xfId="0" applyFont="1" applyFill="1" applyBorder="1" applyAlignment="1">
      <alignment horizontal="center"/>
    </xf>
    <xf numFmtId="0" fontId="2" fillId="4" borderId="101" xfId="0" applyFont="1" applyFill="1" applyBorder="1" applyAlignment="1">
      <alignment horizontal="center"/>
    </xf>
    <xf numFmtId="0" fontId="2" fillId="4" borderId="33" xfId="0" applyFont="1" applyFill="1" applyBorder="1" applyAlignment="1">
      <alignment horizontal="center"/>
    </xf>
    <xf numFmtId="0" fontId="2" fillId="4" borderId="109" xfId="0" applyFont="1" applyFill="1" applyBorder="1" applyAlignment="1">
      <alignment horizontal="center"/>
    </xf>
    <xf numFmtId="15" fontId="2" fillId="4" borderId="89" xfId="0" applyNumberFormat="1" applyFont="1" applyFill="1" applyBorder="1"/>
    <xf numFmtId="0" fontId="17" fillId="3" borderId="62" xfId="0" applyFont="1" applyFill="1" applyBorder="1" applyAlignment="1">
      <alignment horizontal="center" vertical="center" wrapText="1"/>
    </xf>
    <xf numFmtId="15" fontId="2" fillId="4" borderId="35" xfId="0" applyNumberFormat="1" applyFont="1" applyFill="1" applyBorder="1"/>
    <xf numFmtId="0" fontId="17" fillId="3" borderId="65" xfId="0" applyFont="1" applyFill="1" applyBorder="1" applyAlignment="1">
      <alignment horizontal="center" vertical="center" wrapText="1"/>
    </xf>
    <xf numFmtId="0" fontId="17" fillId="3" borderId="102" xfId="0" applyFont="1" applyFill="1" applyBorder="1" applyAlignment="1">
      <alignment horizontal="center" vertical="center" wrapText="1"/>
    </xf>
    <xf numFmtId="15" fontId="2" fillId="4" borderId="108" xfId="0" applyNumberFormat="1" applyFont="1" applyFill="1" applyBorder="1"/>
    <xf numFmtId="0" fontId="17" fillId="3" borderId="47" xfId="0" applyFont="1" applyFill="1" applyBorder="1" applyAlignment="1">
      <alignment horizontal="center" vertical="center" wrapText="1"/>
    </xf>
    <xf numFmtId="0" fontId="17" fillId="3" borderId="86" xfId="0" applyFont="1" applyFill="1" applyBorder="1" applyAlignment="1">
      <alignment horizontal="center" vertical="center" wrapText="1"/>
    </xf>
    <xf numFmtId="0" fontId="17" fillId="3" borderId="6" xfId="0" applyFont="1" applyFill="1" applyBorder="1" applyAlignment="1">
      <alignment horizontal="center" vertical="center" wrapText="1"/>
    </xf>
    <xf numFmtId="10" fontId="17" fillId="3" borderId="86"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10" fontId="17" fillId="3" borderId="6" xfId="0" applyNumberFormat="1" applyFont="1" applyFill="1" applyBorder="1" applyAlignment="1">
      <alignment horizontal="center" vertical="center" wrapText="1"/>
    </xf>
    <xf numFmtId="15" fontId="2" fillId="4" borderId="36" xfId="0" applyNumberFormat="1" applyFont="1" applyFill="1" applyBorder="1"/>
    <xf numFmtId="0" fontId="17" fillId="3" borderId="49" xfId="0" applyFont="1" applyFill="1" applyBorder="1" applyAlignment="1">
      <alignment horizontal="center" vertical="center" wrapText="1"/>
    </xf>
    <xf numFmtId="0" fontId="17" fillId="3" borderId="8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3" fillId="12" borderId="109" xfId="0" applyFont="1" applyFill="1" applyBorder="1" applyAlignment="1">
      <alignment horizontal="center"/>
    </xf>
    <xf numFmtId="164" fontId="0" fillId="7" borderId="102" xfId="0" applyNumberFormat="1" applyFill="1" applyBorder="1"/>
    <xf numFmtId="0" fontId="17" fillId="3" borderId="88"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1" xfId="0" applyFont="1" applyFill="1" applyBorder="1" applyAlignment="1">
      <alignment horizontal="center" vertical="center" wrapText="1"/>
    </xf>
    <xf numFmtId="10" fontId="17" fillId="3" borderId="65" xfId="0" applyNumberFormat="1" applyFont="1" applyFill="1" applyBorder="1" applyAlignment="1">
      <alignment horizontal="center" vertical="center" wrapText="1"/>
    </xf>
    <xf numFmtId="10" fontId="17" fillId="3" borderId="34" xfId="0" applyNumberFormat="1" applyFont="1" applyFill="1" applyBorder="1" applyAlignment="1">
      <alignment horizontal="center" vertical="center" wrapText="1"/>
    </xf>
    <xf numFmtId="10" fontId="17" fillId="3" borderId="102" xfId="0" applyNumberFormat="1" applyFont="1" applyFill="1" applyBorder="1" applyAlignment="1">
      <alignment horizontal="center" vertical="center" wrapText="1"/>
    </xf>
    <xf numFmtId="0" fontId="0" fillId="3" borderId="100" xfId="0" applyFill="1" applyBorder="1" applyAlignment="1">
      <alignment horizontal="center"/>
    </xf>
    <xf numFmtId="0" fontId="0" fillId="0" borderId="51" xfId="0" applyBorder="1" applyAlignment="1">
      <alignment horizontal="right"/>
    </xf>
    <xf numFmtId="42" fontId="0" fillId="7" borderId="43" xfId="0" applyNumberFormat="1" applyFill="1" applyBorder="1"/>
    <xf numFmtId="0" fontId="13" fillId="0" borderId="0" xfId="0" applyFont="1" applyAlignment="1">
      <alignment horizontal="left" vertical="center"/>
    </xf>
    <xf numFmtId="0" fontId="14" fillId="0" borderId="0" xfId="0" applyFont="1" applyAlignment="1">
      <alignment horizontal="left" vertical="center"/>
    </xf>
    <xf numFmtId="10" fontId="0" fillId="7" borderId="111" xfId="0" applyNumberFormat="1" applyFill="1" applyBorder="1" applyAlignment="1">
      <alignment horizontal="center"/>
    </xf>
    <xf numFmtId="10" fontId="0" fillId="7" borderId="112" xfId="0" applyNumberFormat="1" applyFill="1" applyBorder="1" applyAlignment="1">
      <alignment horizontal="center"/>
    </xf>
    <xf numFmtId="10" fontId="0" fillId="7" borderId="101" xfId="0" applyNumberFormat="1" applyFill="1" applyBorder="1" applyAlignment="1">
      <alignment horizontal="center"/>
    </xf>
    <xf numFmtId="0" fontId="3" fillId="5" borderId="113" xfId="0" applyFont="1" applyFill="1" applyBorder="1" applyAlignment="1">
      <alignment horizontal="center"/>
    </xf>
    <xf numFmtId="0" fontId="3" fillId="5" borderId="109" xfId="0" applyFont="1" applyFill="1" applyBorder="1" applyAlignment="1">
      <alignment horizontal="center"/>
    </xf>
    <xf numFmtId="164" fontId="0" fillId="5" borderId="110" xfId="0" applyNumberFormat="1" applyFill="1" applyBorder="1"/>
    <xf numFmtId="164" fontId="0" fillId="5" borderId="1" xfId="0" applyNumberFormat="1" applyFill="1" applyBorder="1"/>
    <xf numFmtId="164" fontId="0" fillId="5" borderId="6" xfId="0" applyNumberFormat="1" applyFill="1" applyBorder="1"/>
    <xf numFmtId="164" fontId="0" fillId="5" borderId="3" xfId="0" applyNumberFormat="1" applyFill="1" applyBorder="1"/>
    <xf numFmtId="164" fontId="0" fillId="5" borderId="7" xfId="0" applyNumberFormat="1" applyFill="1" applyBorder="1"/>
    <xf numFmtId="15" fontId="3" fillId="12" borderId="114" xfId="0" applyNumberFormat="1" applyFont="1" applyFill="1" applyBorder="1" applyAlignment="1">
      <alignment horizontal="center"/>
    </xf>
    <xf numFmtId="15" fontId="3" fillId="12" borderId="105" xfId="0" applyNumberFormat="1" applyFont="1" applyFill="1" applyBorder="1" applyAlignment="1">
      <alignment horizontal="center"/>
    </xf>
    <xf numFmtId="15" fontId="3" fillId="12" borderId="106" xfId="0" applyNumberFormat="1" applyFont="1" applyFill="1" applyBorder="1" applyAlignment="1">
      <alignment horizontal="center"/>
    </xf>
    <xf numFmtId="9" fontId="0" fillId="3" borderId="5" xfId="0" applyNumberFormat="1" applyFill="1" applyBorder="1"/>
    <xf numFmtId="0" fontId="4" fillId="3" borderId="5" xfId="0" applyFont="1" applyFill="1" applyBorder="1" applyAlignment="1">
      <alignment horizontal="center"/>
    </xf>
    <xf numFmtId="0" fontId="7" fillId="12" borderId="115" xfId="0" applyFont="1" applyFill="1" applyBorder="1" applyAlignment="1">
      <alignment horizontal="center"/>
    </xf>
    <xf numFmtId="164" fontId="7" fillId="12" borderId="116" xfId="0" applyNumberFormat="1" applyFont="1" applyFill="1" applyBorder="1" applyAlignment="1">
      <alignment horizontal="center"/>
    </xf>
    <xf numFmtId="0" fontId="7" fillId="12" borderId="116" xfId="0" applyFont="1" applyFill="1" applyBorder="1" applyAlignment="1">
      <alignment horizontal="center"/>
    </xf>
    <xf numFmtId="0" fontId="7" fillId="12" borderId="117" xfId="0" applyFont="1" applyFill="1" applyBorder="1" applyAlignment="1">
      <alignment horizontal="center"/>
    </xf>
    <xf numFmtId="0" fontId="7" fillId="12" borderId="20" xfId="0" applyFont="1" applyFill="1" applyBorder="1" applyAlignment="1">
      <alignment horizontal="center"/>
    </xf>
    <xf numFmtId="0" fontId="0" fillId="12" borderId="44" xfId="0" applyFill="1" applyBorder="1"/>
    <xf numFmtId="0" fontId="0" fillId="0" borderId="118" xfId="0" applyBorder="1"/>
    <xf numFmtId="164" fontId="0" fillId="0" borderId="34" xfId="0" applyNumberFormat="1" applyBorder="1"/>
    <xf numFmtId="164" fontId="0" fillId="0" borderId="118" xfId="0" applyNumberFormat="1" applyBorder="1"/>
    <xf numFmtId="8" fontId="0" fillId="0" borderId="34" xfId="0" applyNumberFormat="1" applyBorder="1" applyAlignment="1">
      <alignment horizontal="center"/>
    </xf>
    <xf numFmtId="8" fontId="0" fillId="0" borderId="119" xfId="0" applyNumberFormat="1" applyBorder="1"/>
    <xf numFmtId="0" fontId="0" fillId="12" borderId="46" xfId="0" applyFill="1" applyBorder="1"/>
    <xf numFmtId="0" fontId="0" fillId="0" borderId="10" xfId="0" applyBorder="1"/>
    <xf numFmtId="164" fontId="0" fillId="0" borderId="2" xfId="0" applyNumberFormat="1" applyBorder="1"/>
    <xf numFmtId="164" fontId="0" fillId="0" borderId="10" xfId="0" applyNumberFormat="1" applyBorder="1"/>
    <xf numFmtId="8" fontId="0" fillId="0" borderId="2" xfId="0" applyNumberFormat="1" applyBorder="1" applyAlignment="1">
      <alignment horizontal="center"/>
    </xf>
    <xf numFmtId="8" fontId="0" fillId="0" borderId="11" xfId="0" applyNumberFormat="1" applyBorder="1"/>
    <xf numFmtId="0" fontId="0" fillId="12" borderId="48" xfId="0" applyFill="1" applyBorder="1"/>
    <xf numFmtId="0" fontId="0" fillId="0" borderId="12" xfId="0" applyBorder="1"/>
    <xf numFmtId="164" fontId="0" fillId="0" borderId="68" xfId="0" applyNumberFormat="1" applyBorder="1"/>
    <xf numFmtId="164" fontId="0" fillId="0" borderId="12" xfId="0" applyNumberFormat="1" applyBorder="1"/>
    <xf numFmtId="8" fontId="0" fillId="0" borderId="68" xfId="0" applyNumberFormat="1" applyBorder="1" applyAlignment="1">
      <alignment horizontal="center"/>
    </xf>
    <xf numFmtId="8" fontId="0" fillId="0" borderId="13" xfId="0" applyNumberFormat="1" applyBorder="1"/>
    <xf numFmtId="173" fontId="0" fillId="7" borderId="5" xfId="0" applyNumberFormat="1" applyFill="1" applyBorder="1"/>
    <xf numFmtId="164" fontId="0" fillId="7" borderId="45" xfId="0" applyNumberFormat="1" applyFill="1" applyBorder="1"/>
    <xf numFmtId="44" fontId="0" fillId="7" borderId="45" xfId="0" applyNumberFormat="1" applyFill="1" applyBorder="1"/>
    <xf numFmtId="0" fontId="7" fillId="12" borderId="115" xfId="0" applyFont="1" applyFill="1" applyBorder="1" applyAlignment="1">
      <alignment horizontal="left"/>
    </xf>
    <xf numFmtId="164" fontId="0" fillId="10" borderId="34" xfId="0" applyNumberFormat="1" applyFill="1" applyBorder="1"/>
    <xf numFmtId="164" fontId="0" fillId="10" borderId="2" xfId="0" applyNumberFormat="1" applyFill="1" applyBorder="1"/>
    <xf numFmtId="164" fontId="0" fillId="10" borderId="68" xfId="0" applyNumberFormat="1" applyFill="1" applyBorder="1"/>
    <xf numFmtId="8" fontId="0" fillId="10" borderId="2" xfId="0" applyNumberFormat="1" applyFill="1" applyBorder="1"/>
    <xf numFmtId="164" fontId="0" fillId="7" borderId="24" xfId="0" applyNumberFormat="1" applyFill="1" applyBorder="1" applyAlignment="1">
      <alignment horizontal="center"/>
    </xf>
    <xf numFmtId="164" fontId="0" fillId="7" borderId="14" xfId="0" applyNumberFormat="1" applyFill="1" applyBorder="1" applyAlignment="1">
      <alignment horizontal="center"/>
    </xf>
    <xf numFmtId="164" fontId="0" fillId="7" borderId="16" xfId="0" applyNumberFormat="1" applyFill="1" applyBorder="1" applyAlignment="1">
      <alignment horizontal="center"/>
    </xf>
    <xf numFmtId="15" fontId="0" fillId="4" borderId="120" xfId="0" applyNumberFormat="1" applyFill="1" applyBorder="1" applyAlignment="1">
      <alignment horizontal="center"/>
    </xf>
    <xf numFmtId="1" fontId="0" fillId="4" borderId="121" xfId="0" applyNumberFormat="1" applyFill="1" applyBorder="1" applyAlignment="1">
      <alignment horizontal="center"/>
    </xf>
    <xf numFmtId="164" fontId="0" fillId="7" borderId="122" xfId="0" applyNumberFormat="1" applyFill="1" applyBorder="1" applyAlignment="1">
      <alignment horizontal="center"/>
    </xf>
    <xf numFmtId="10" fontId="5" fillId="3" borderId="125" xfId="0" applyNumberFormat="1" applyFont="1" applyFill="1" applyBorder="1" applyAlignment="1">
      <alignment horizontal="center" vertical="center" wrapText="1"/>
    </xf>
    <xf numFmtId="0" fontId="5" fillId="12" borderId="123" xfId="0" applyFont="1" applyFill="1" applyBorder="1" applyAlignment="1">
      <alignment horizontal="center" vertical="center" wrapText="1"/>
    </xf>
    <xf numFmtId="10" fontId="5" fillId="3" borderId="124" xfId="0" applyNumberFormat="1" applyFont="1" applyFill="1" applyBorder="1" applyAlignment="1">
      <alignment horizontal="center" vertical="center" wrapText="1"/>
    </xf>
    <xf numFmtId="164" fontId="0" fillId="5" borderId="102" xfId="0" applyNumberFormat="1" applyFill="1" applyBorder="1"/>
    <xf numFmtId="14" fontId="0" fillId="4" borderId="126" xfId="0" applyNumberFormat="1" applyFill="1" applyBorder="1" applyAlignment="1">
      <alignment horizontal="center"/>
    </xf>
    <xf numFmtId="14" fontId="0" fillId="4" borderId="127" xfId="0" applyNumberFormat="1" applyFill="1" applyBorder="1" applyAlignment="1">
      <alignment horizontal="center"/>
    </xf>
    <xf numFmtId="14" fontId="0" fillId="4" borderId="128" xfId="0" applyNumberFormat="1" applyFill="1" applyBorder="1" applyAlignment="1">
      <alignment horizontal="center"/>
    </xf>
    <xf numFmtId="0" fontId="18" fillId="4" borderId="129" xfId="0" applyFont="1" applyFill="1" applyBorder="1" applyAlignment="1">
      <alignment horizontal="center"/>
    </xf>
    <xf numFmtId="0" fontId="18" fillId="4" borderId="130" xfId="0" applyFont="1" applyFill="1" applyBorder="1" applyAlignment="1">
      <alignment horizontal="center"/>
    </xf>
    <xf numFmtId="0" fontId="7" fillId="4" borderId="116" xfId="0" applyFont="1" applyFill="1" applyBorder="1" applyAlignment="1">
      <alignment horizontal="center"/>
    </xf>
    <xf numFmtId="0" fontId="7" fillId="4" borderId="117" xfId="0" applyFont="1" applyFill="1" applyBorder="1" applyAlignment="1">
      <alignment horizontal="center"/>
    </xf>
    <xf numFmtId="0" fontId="0" fillId="4" borderId="131" xfId="0" applyFill="1" applyBorder="1" applyAlignment="1">
      <alignment horizontal="center"/>
    </xf>
    <xf numFmtId="0" fontId="0" fillId="3" borderId="79" xfId="0" applyFill="1" applyBorder="1" applyAlignment="1">
      <alignment horizontal="center"/>
    </xf>
    <xf numFmtId="7" fontId="19" fillId="3" borderId="65" xfId="0" applyNumberFormat="1" applyFont="1" applyFill="1" applyBorder="1" applyAlignment="1">
      <alignment horizontal="center" vertical="center" wrapText="1"/>
    </xf>
    <xf numFmtId="7" fontId="19" fillId="3" borderId="34" xfId="0" applyNumberFormat="1" applyFont="1" applyFill="1" applyBorder="1" applyAlignment="1">
      <alignment horizontal="center" vertical="center" wrapText="1"/>
    </xf>
    <xf numFmtId="7" fontId="19" fillId="3" borderId="119" xfId="0" applyNumberFormat="1" applyFont="1" applyFill="1" applyBorder="1" applyAlignment="1">
      <alignment horizontal="center" vertical="center" wrapText="1"/>
    </xf>
    <xf numFmtId="0" fontId="0" fillId="3" borderId="11" xfId="0" applyFill="1" applyBorder="1" applyAlignment="1">
      <alignment horizontal="center"/>
    </xf>
    <xf numFmtId="7" fontId="19" fillId="3" borderId="86" xfId="0" applyNumberFormat="1" applyFont="1" applyFill="1" applyBorder="1" applyAlignment="1">
      <alignment horizontal="center" vertical="center" wrapText="1"/>
    </xf>
    <xf numFmtId="7" fontId="19" fillId="3" borderId="2" xfId="0" applyNumberFormat="1" applyFont="1" applyFill="1" applyBorder="1" applyAlignment="1">
      <alignment horizontal="center" vertical="center" wrapText="1"/>
    </xf>
    <xf numFmtId="7" fontId="19" fillId="3" borderId="11" xfId="0" applyNumberFormat="1" applyFont="1" applyFill="1" applyBorder="1" applyAlignment="1">
      <alignment horizontal="center" vertical="center" wrapText="1"/>
    </xf>
    <xf numFmtId="0" fontId="0" fillId="4" borderId="132" xfId="0" applyFill="1" applyBorder="1" applyAlignment="1">
      <alignment horizontal="center"/>
    </xf>
    <xf numFmtId="0" fontId="0" fillId="3" borderId="13" xfId="0" applyFill="1" applyBorder="1" applyAlignment="1">
      <alignment horizontal="center"/>
    </xf>
    <xf numFmtId="7" fontId="19" fillId="3" borderId="103" xfId="0" applyNumberFormat="1" applyFont="1" applyFill="1" applyBorder="1" applyAlignment="1">
      <alignment horizontal="center" vertical="center" wrapText="1"/>
    </xf>
    <xf numFmtId="7" fontId="19" fillId="3" borderId="68" xfId="0" applyNumberFormat="1" applyFont="1" applyFill="1" applyBorder="1" applyAlignment="1">
      <alignment horizontal="center" vertical="center" wrapText="1"/>
    </xf>
    <xf numFmtId="7" fontId="19" fillId="3" borderId="13" xfId="0" applyNumberFormat="1" applyFont="1" applyFill="1" applyBorder="1" applyAlignment="1">
      <alignment horizontal="center" vertical="center" wrapText="1"/>
    </xf>
    <xf numFmtId="10" fontId="17" fillId="3" borderId="88" xfId="0" applyNumberFormat="1" applyFont="1" applyFill="1" applyBorder="1" applyAlignment="1">
      <alignment horizontal="center" vertical="center" wrapText="1"/>
    </xf>
    <xf numFmtId="10" fontId="17" fillId="3" borderId="21" xfId="0" applyNumberFormat="1" applyFont="1" applyFill="1" applyBorder="1" applyAlignment="1">
      <alignment horizontal="center" vertical="center" wrapText="1"/>
    </xf>
    <xf numFmtId="174" fontId="0" fillId="3" borderId="45" xfId="3" applyNumberFormat="1" applyFont="1" applyFill="1" applyBorder="1" applyAlignment="1">
      <alignment horizontal="right"/>
    </xf>
    <xf numFmtId="174" fontId="0" fillId="3" borderId="47" xfId="3" applyNumberFormat="1" applyFont="1" applyFill="1" applyBorder="1" applyAlignment="1">
      <alignment horizontal="right"/>
    </xf>
    <xf numFmtId="174" fontId="0" fillId="7" borderId="47" xfId="3" applyNumberFormat="1" applyFont="1" applyFill="1" applyBorder="1" applyAlignment="1">
      <alignment horizontal="right"/>
    </xf>
    <xf numFmtId="174" fontId="0" fillId="7" borderId="90" xfId="3" applyNumberFormat="1" applyFont="1" applyFill="1" applyBorder="1" applyAlignment="1">
      <alignment horizontal="right"/>
    </xf>
    <xf numFmtId="10" fontId="0" fillId="3" borderId="5" xfId="0" applyNumberFormat="1" applyFill="1" applyBorder="1"/>
    <xf numFmtId="168" fontId="0" fillId="7" borderId="82" xfId="0" applyNumberFormat="1" applyFill="1" applyBorder="1"/>
    <xf numFmtId="168" fontId="0" fillId="7" borderId="77" xfId="0" applyNumberFormat="1" applyFill="1" applyBorder="1"/>
    <xf numFmtId="168" fontId="0" fillId="7" borderId="78" xfId="0" applyNumberFormat="1" applyFill="1" applyBorder="1"/>
    <xf numFmtId="2" fontId="0" fillId="7" borderId="42" xfId="0" applyNumberFormat="1" applyFill="1" applyBorder="1"/>
    <xf numFmtId="168" fontId="0" fillId="7" borderId="3" xfId="0" applyNumberFormat="1" applyFill="1" applyBorder="1"/>
    <xf numFmtId="168" fontId="0" fillId="7" borderId="4" xfId="0" applyNumberFormat="1" applyFill="1" applyBorder="1"/>
    <xf numFmtId="168" fontId="0" fillId="7" borderId="7" xfId="0" applyNumberFormat="1" applyFill="1" applyBorder="1"/>
    <xf numFmtId="0" fontId="0" fillId="10" borderId="47" xfId="0" applyFill="1" applyBorder="1"/>
    <xf numFmtId="164" fontId="0" fillId="10" borderId="47" xfId="0" applyNumberFormat="1" applyFill="1" applyBorder="1"/>
    <xf numFmtId="10" fontId="0" fillId="10" borderId="49" xfId="0" applyNumberFormat="1" applyFill="1" applyBorder="1"/>
    <xf numFmtId="164" fontId="0" fillId="3" borderId="45" xfId="0" applyNumberFormat="1" applyFill="1" applyBorder="1" applyAlignment="1">
      <alignment horizontal="right"/>
    </xf>
    <xf numFmtId="0" fontId="0" fillId="17" borderId="0" xfId="0" applyFill="1"/>
    <xf numFmtId="175" fontId="0" fillId="12" borderId="46" xfId="0" applyNumberFormat="1" applyFill="1" applyBorder="1"/>
    <xf numFmtId="164" fontId="0" fillId="3" borderId="47" xfId="0" applyNumberFormat="1" applyFill="1" applyBorder="1" applyAlignment="1">
      <alignment horizontal="right"/>
    </xf>
    <xf numFmtId="0" fontId="20" fillId="17" borderId="0" xfId="0" applyFont="1" applyFill="1" applyAlignment="1">
      <alignment horizontal="right" vertical="center" wrapText="1"/>
    </xf>
    <xf numFmtId="0" fontId="21" fillId="17" borderId="0" xfId="0" applyFont="1" applyFill="1" applyAlignment="1">
      <alignment horizontal="right" vertical="center" wrapText="1"/>
    </xf>
    <xf numFmtId="175" fontId="0" fillId="12" borderId="48" xfId="0" applyNumberFormat="1" applyFill="1" applyBorder="1"/>
    <xf numFmtId="164" fontId="0" fillId="3" borderId="49" xfId="0" applyNumberFormat="1" applyFill="1" applyBorder="1" applyAlignment="1">
      <alignment horizontal="right"/>
    </xf>
    <xf numFmtId="2" fontId="0" fillId="7" borderId="40" xfId="0" applyNumberFormat="1" applyFill="1" applyBorder="1"/>
    <xf numFmtId="0" fontId="0" fillId="7" borderId="82" xfId="0" applyFill="1" applyBorder="1"/>
    <xf numFmtId="0" fontId="0" fillId="7" borderId="78" xfId="0" applyFill="1" applyBorder="1"/>
    <xf numFmtId="0" fontId="0" fillId="7" borderId="1" xfId="0" applyFill="1" applyBorder="1"/>
    <xf numFmtId="0" fontId="0" fillId="7" borderId="6" xfId="0" applyFill="1" applyBorder="1"/>
    <xf numFmtId="0" fontId="0" fillId="7" borderId="3" xfId="0" applyFill="1" applyBorder="1"/>
    <xf numFmtId="0" fontId="0" fillId="7" borderId="7" xfId="0" applyFill="1" applyBorder="1"/>
    <xf numFmtId="176" fontId="2" fillId="4" borderId="89" xfId="0" applyNumberFormat="1" applyFont="1" applyFill="1" applyBorder="1"/>
    <xf numFmtId="176" fontId="2" fillId="4" borderId="35" xfId="0" applyNumberFormat="1" applyFont="1" applyFill="1" applyBorder="1"/>
    <xf numFmtId="176" fontId="2" fillId="4" borderId="108" xfId="0" applyNumberFormat="1" applyFont="1" applyFill="1" applyBorder="1"/>
    <xf numFmtId="176" fontId="2" fillId="4" borderId="36" xfId="0" applyNumberFormat="1" applyFont="1" applyFill="1" applyBorder="1"/>
    <xf numFmtId="1" fontId="0" fillId="7" borderId="41" xfId="0" applyNumberFormat="1" applyFill="1" applyBorder="1"/>
    <xf numFmtId="0" fontId="0" fillId="7" borderId="41" xfId="0" applyFill="1" applyBorder="1"/>
    <xf numFmtId="164" fontId="0" fillId="7" borderId="41" xfId="0" applyNumberFormat="1" applyFill="1" applyBorder="1"/>
    <xf numFmtId="0" fontId="0" fillId="3" borderId="5" xfId="0" applyFill="1" applyBorder="1" applyAlignment="1">
      <alignment horizontal="center"/>
    </xf>
    <xf numFmtId="0" fontId="0" fillId="12" borderId="133" xfId="0" applyFill="1" applyBorder="1" applyAlignment="1">
      <alignment horizontal="center"/>
    </xf>
    <xf numFmtId="9" fontId="0" fillId="3" borderId="119" xfId="0" applyNumberFormat="1" applyFill="1" applyBorder="1" applyAlignment="1">
      <alignment horizontal="center"/>
    </xf>
    <xf numFmtId="9" fontId="0" fillId="3" borderId="61" xfId="0" applyNumberFormat="1" applyFill="1" applyBorder="1" applyAlignment="1">
      <alignment horizontal="center"/>
    </xf>
    <xf numFmtId="3" fontId="0" fillId="3" borderId="119" xfId="0" applyNumberFormat="1" applyFill="1" applyBorder="1"/>
    <xf numFmtId="3" fontId="0" fillId="3" borderId="11" xfId="0" applyNumberFormat="1" applyFill="1" applyBorder="1"/>
    <xf numFmtId="0" fontId="0" fillId="3" borderId="11" xfId="0" applyFill="1" applyBorder="1"/>
    <xf numFmtId="0" fontId="0" fillId="3" borderId="13" xfId="0" applyFill="1" applyBorder="1"/>
    <xf numFmtId="3" fontId="0" fillId="7" borderId="134" xfId="0" applyNumberFormat="1" applyFill="1" applyBorder="1"/>
    <xf numFmtId="3" fontId="0" fillId="7" borderId="62" xfId="0" applyNumberFormat="1" applyFill="1" applyBorder="1"/>
    <xf numFmtId="3" fontId="0" fillId="7" borderId="47" xfId="0" applyNumberFormat="1" applyFill="1" applyBorder="1"/>
    <xf numFmtId="0" fontId="0" fillId="7" borderId="47" xfId="0" applyFill="1" applyBorder="1"/>
    <xf numFmtId="0" fontId="0" fillId="7" borderId="91" xfId="0" applyFill="1" applyBorder="1"/>
    <xf numFmtId="3" fontId="0" fillId="7" borderId="90" xfId="0" applyNumberFormat="1" applyFill="1" applyBorder="1"/>
    <xf numFmtId="0" fontId="0" fillId="3" borderId="135" xfId="0" applyFill="1" applyBorder="1"/>
    <xf numFmtId="2" fontId="0" fillId="3" borderId="91" xfId="0" applyNumberFormat="1" applyFill="1" applyBorder="1"/>
    <xf numFmtId="42" fontId="0" fillId="7" borderId="45" xfId="0" applyNumberFormat="1" applyFill="1" applyBorder="1" applyAlignment="1">
      <alignment horizontal="center"/>
    </xf>
    <xf numFmtId="10" fontId="17" fillId="3" borderId="20" xfId="0" applyNumberFormat="1" applyFont="1" applyFill="1" applyBorder="1" applyAlignment="1">
      <alignment horizontal="center" vertical="center" wrapText="1"/>
    </xf>
    <xf numFmtId="164" fontId="0" fillId="7" borderId="45" xfId="0" applyNumberFormat="1" applyFill="1" applyBorder="1" applyAlignment="1">
      <alignment vertical="center"/>
    </xf>
    <xf numFmtId="164" fontId="0" fillId="7" borderId="47" xfId="0" applyNumberFormat="1" applyFill="1" applyBorder="1" applyAlignment="1">
      <alignment vertical="center"/>
    </xf>
    <xf numFmtId="164" fontId="0" fillId="3" borderId="47" xfId="0" applyNumberFormat="1" applyFill="1" applyBorder="1" applyAlignment="1">
      <alignment vertical="center"/>
    </xf>
    <xf numFmtId="10" fontId="0" fillId="3" borderId="47" xfId="0" applyNumberFormat="1" applyFill="1" applyBorder="1" applyAlignment="1">
      <alignment vertical="center"/>
    </xf>
    <xf numFmtId="0" fontId="0" fillId="3" borderId="47" xfId="0" applyFill="1" applyBorder="1" applyAlignment="1">
      <alignment vertical="center"/>
    </xf>
    <xf numFmtId="10" fontId="0" fillId="3" borderId="49" xfId="0" applyNumberFormat="1" applyFill="1" applyBorder="1" applyAlignment="1">
      <alignment vertical="center"/>
    </xf>
    <xf numFmtId="0" fontId="1" fillId="12" borderId="64" xfId="1" applyFill="1" applyBorder="1" applyAlignment="1">
      <alignment horizontal="center" vertical="top" wrapText="1"/>
    </xf>
    <xf numFmtId="0" fontId="18" fillId="12" borderId="50" xfId="0" applyFont="1" applyFill="1" applyBorder="1" applyAlignment="1">
      <alignment horizontal="center" vertical="top" wrapText="1"/>
    </xf>
    <xf numFmtId="0" fontId="22" fillId="3" borderId="136" xfId="0" applyFont="1" applyFill="1" applyBorder="1" applyAlignment="1">
      <alignment horizontal="center" vertical="top" wrapText="1"/>
    </xf>
    <xf numFmtId="0" fontId="22" fillId="3" borderId="62" xfId="0" applyFont="1" applyFill="1" applyBorder="1" applyAlignment="1">
      <alignment horizontal="center" vertical="top" wrapText="1"/>
    </xf>
    <xf numFmtId="0" fontId="22" fillId="3" borderId="35" xfId="0" applyFont="1" applyFill="1" applyBorder="1" applyAlignment="1">
      <alignment horizontal="center" vertical="top" wrapText="1"/>
    </xf>
    <xf numFmtId="0" fontId="22" fillId="3" borderId="47" xfId="0" applyFont="1" applyFill="1" applyBorder="1" applyAlignment="1">
      <alignment horizontal="center" vertical="top" wrapText="1"/>
    </xf>
    <xf numFmtId="0" fontId="22" fillId="3" borderId="36" xfId="0" applyFont="1" applyFill="1" applyBorder="1" applyAlignment="1">
      <alignment horizontal="center" vertical="top" wrapText="1"/>
    </xf>
    <xf numFmtId="0" fontId="22" fillId="3" borderId="49" xfId="0" applyFont="1" applyFill="1" applyBorder="1" applyAlignment="1">
      <alignment horizontal="center" vertical="top" wrapText="1"/>
    </xf>
    <xf numFmtId="0" fontId="0" fillId="14" borderId="44" xfId="0" applyFill="1" applyBorder="1" applyAlignment="1">
      <alignment horizontal="center"/>
    </xf>
    <xf numFmtId="0" fontId="1" fillId="14" borderId="45" xfId="1" applyFill="1" applyBorder="1" applyAlignment="1">
      <alignment horizontal="center"/>
    </xf>
    <xf numFmtId="44" fontId="0" fillId="0" borderId="0" xfId="0" applyNumberFormat="1"/>
    <xf numFmtId="164" fontId="0" fillId="3" borderId="9" xfId="0" applyNumberFormat="1" applyFill="1" applyBorder="1" applyAlignment="1">
      <alignment horizontal="center"/>
    </xf>
    <xf numFmtId="164" fontId="0" fillId="3" borderId="11" xfId="0" applyNumberFormat="1" applyFill="1" applyBorder="1" applyAlignment="1">
      <alignment horizontal="center"/>
    </xf>
    <xf numFmtId="164" fontId="0" fillId="3" borderId="122" xfId="0" applyNumberFormat="1" applyFill="1" applyBorder="1" applyAlignment="1">
      <alignment horizontal="center"/>
    </xf>
    <xf numFmtId="0" fontId="30" fillId="13" borderId="0" xfId="0" applyFont="1" applyFill="1" applyAlignment="1">
      <alignment horizontal="left"/>
    </xf>
    <xf numFmtId="0" fontId="3" fillId="13" borderId="0" xfId="0" applyFont="1" applyFill="1" applyAlignment="1">
      <alignment vertical="center"/>
    </xf>
    <xf numFmtId="0" fontId="3" fillId="13" borderId="53" xfId="0" applyFont="1" applyFill="1" applyBorder="1" applyAlignment="1">
      <alignment horizontal="left"/>
    </xf>
    <xf numFmtId="14" fontId="0" fillId="0" borderId="0" xfId="0" applyNumberFormat="1"/>
    <xf numFmtId="0" fontId="23" fillId="10" borderId="0" xfId="0" applyFont="1" applyFill="1" applyAlignment="1">
      <alignment horizontal="left" vertical="center"/>
    </xf>
    <xf numFmtId="0" fontId="0" fillId="10" borderId="0" xfId="0" applyFill="1"/>
    <xf numFmtId="164" fontId="0" fillId="11" borderId="5" xfId="0" applyNumberFormat="1" applyFill="1" applyBorder="1" applyAlignment="1">
      <alignment horizontal="center"/>
    </xf>
    <xf numFmtId="0" fontId="3" fillId="13" borderId="0" xfId="0" applyFont="1" applyFill="1" applyAlignment="1">
      <alignment horizontal="left" vertical="center"/>
    </xf>
    <xf numFmtId="0" fontId="34" fillId="0" borderId="0" xfId="0" applyFont="1"/>
    <xf numFmtId="44" fontId="0" fillId="0" borderId="0" xfId="3" applyFont="1"/>
    <xf numFmtId="0" fontId="35" fillId="13" borderId="0" xfId="0" applyFont="1" applyFill="1"/>
    <xf numFmtId="0" fontId="0" fillId="13" borderId="137" xfId="0" applyFill="1" applyBorder="1"/>
    <xf numFmtId="0" fontId="0" fillId="13" borderId="138" xfId="0" applyFill="1" applyBorder="1"/>
    <xf numFmtId="0" fontId="0" fillId="13" borderId="139" xfId="0" applyFill="1" applyBorder="1"/>
    <xf numFmtId="0" fontId="0" fillId="13" borderId="140" xfId="0" applyFill="1" applyBorder="1"/>
    <xf numFmtId="0" fontId="0" fillId="13" borderId="141" xfId="0" applyFill="1" applyBorder="1"/>
    <xf numFmtId="0" fontId="0" fillId="13" borderId="142" xfId="0" applyFill="1" applyBorder="1"/>
    <xf numFmtId="0" fontId="0" fillId="13" borderId="143" xfId="0" applyFill="1" applyBorder="1"/>
    <xf numFmtId="0" fontId="0" fillId="13" borderId="144" xfId="0" applyFill="1" applyBorder="1"/>
    <xf numFmtId="164" fontId="37" fillId="2" borderId="5" xfId="0" applyNumberFormat="1" applyFont="1" applyFill="1" applyBorder="1" applyAlignment="1">
      <alignment horizontal="center" vertical="center"/>
    </xf>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27" fillId="0" borderId="0" xfId="0" applyFont="1" applyAlignment="1">
      <alignment wrapText="1"/>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24" fillId="0" borderId="0" xfId="0" applyFont="1"/>
    <xf numFmtId="0" fontId="23" fillId="3" borderId="0" xfId="0" applyFont="1" applyFill="1" applyAlignment="1">
      <alignment vertical="center"/>
    </xf>
    <xf numFmtId="167" fontId="0" fillId="0" borderId="50" xfId="0" applyNumberFormat="1" applyBorder="1"/>
    <xf numFmtId="0" fontId="25" fillId="0" borderId="51" xfId="0" applyFont="1" applyBorder="1" applyAlignment="1">
      <alignment horizontal="right" vertical="center" wrapText="1"/>
    </xf>
    <xf numFmtId="0" fontId="1" fillId="0" borderId="53" xfId="1" applyBorder="1"/>
    <xf numFmtId="10" fontId="5" fillId="3" borderId="39" xfId="0" applyNumberFormat="1" applyFont="1" applyFill="1" applyBorder="1" applyAlignment="1">
      <alignment horizontal="center" vertical="center" wrapText="1"/>
    </xf>
    <xf numFmtId="0" fontId="38" fillId="0" borderId="0" xfId="0" applyFont="1" applyAlignment="1">
      <alignment wrapText="1"/>
    </xf>
    <xf numFmtId="177" fontId="0" fillId="2" borderId="5" xfId="0" applyNumberFormat="1" applyFill="1" applyBorder="1" applyAlignment="1">
      <alignment horizontal="center"/>
    </xf>
    <xf numFmtId="0" fontId="40" fillId="13" borderId="0" xfId="0" applyFont="1" applyFill="1"/>
    <xf numFmtId="0" fontId="41" fillId="13" borderId="0" xfId="0" applyFont="1" applyFill="1" applyAlignment="1">
      <alignment horizontal="left"/>
    </xf>
    <xf numFmtId="14" fontId="0" fillId="13" borderId="0" xfId="0" applyNumberFormat="1" applyFill="1" applyAlignment="1">
      <alignment horizontal="center" vertical="center"/>
    </xf>
    <xf numFmtId="0" fontId="41" fillId="13" borderId="0" xfId="0" applyFont="1" applyFill="1" applyAlignment="1">
      <alignment vertical="center"/>
    </xf>
    <xf numFmtId="0" fontId="0" fillId="13" borderId="0" xfId="0" applyFill="1" applyAlignment="1">
      <alignment horizontal="center" vertical="center"/>
    </xf>
    <xf numFmtId="0" fontId="10" fillId="13" borderId="0" xfId="0" applyFont="1" applyFill="1" applyAlignment="1">
      <alignment wrapText="1"/>
    </xf>
    <xf numFmtId="0" fontId="10" fillId="13" borderId="56" xfId="0" applyFont="1" applyFill="1" applyBorder="1" applyAlignment="1">
      <alignment wrapText="1"/>
    </xf>
    <xf numFmtId="0" fontId="3" fillId="13" borderId="54" xfId="0" applyFont="1" applyFill="1" applyBorder="1" applyAlignment="1">
      <alignment horizontal="right"/>
    </xf>
    <xf numFmtId="0" fontId="23" fillId="8" borderId="0" xfId="0" applyFont="1" applyFill="1" applyAlignment="1">
      <alignment vertical="center"/>
    </xf>
    <xf numFmtId="0" fontId="4" fillId="13" borderId="0" xfId="0" applyFont="1" applyFill="1"/>
    <xf numFmtId="10" fontId="2" fillId="2" borderId="5" xfId="4" applyNumberFormat="1" applyFont="1" applyFill="1" applyBorder="1" applyAlignment="1">
      <alignment horizontal="center" vertical="center"/>
    </xf>
    <xf numFmtId="164" fontId="0" fillId="2" borderId="5" xfId="0" applyNumberFormat="1" applyFill="1" applyBorder="1" applyAlignment="1">
      <alignment horizontal="center" vertical="center"/>
    </xf>
    <xf numFmtId="166" fontId="44" fillId="13" borderId="0" xfId="0" applyNumberFormat="1" applyFont="1" applyFill="1" applyAlignment="1">
      <alignment horizontal="right"/>
    </xf>
    <xf numFmtId="164" fontId="32" fillId="13" borderId="0" xfId="0" applyNumberFormat="1" applyFont="1" applyFill="1" applyAlignment="1">
      <alignment horizontal="center" vertical="center"/>
    </xf>
    <xf numFmtId="177" fontId="0" fillId="2" borderId="20" xfId="0" applyNumberFormat="1" applyFill="1" applyBorder="1" applyAlignment="1">
      <alignment horizontal="center" vertical="center"/>
    </xf>
    <xf numFmtId="177" fontId="0" fillId="2" borderId="2" xfId="0" applyNumberFormat="1" applyFill="1" applyBorder="1" applyAlignment="1">
      <alignment horizontal="center" vertical="center"/>
    </xf>
    <xf numFmtId="177" fontId="0" fillId="2" borderId="4" xfId="0" applyNumberFormat="1" applyFill="1" applyBorder="1" applyAlignment="1">
      <alignment horizontal="center" vertical="center"/>
    </xf>
    <xf numFmtId="178" fontId="0" fillId="2" borderId="9"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61" xfId="0" applyNumberFormat="1" applyFill="1" applyBorder="1" applyAlignment="1">
      <alignment horizontal="center" vertical="center"/>
    </xf>
    <xf numFmtId="15" fontId="0" fillId="0" borderId="0" xfId="0" applyNumberFormat="1" applyAlignment="1">
      <alignment horizontal="center"/>
    </xf>
    <xf numFmtId="164" fontId="0" fillId="0" borderId="0" xfId="0" applyNumberFormat="1" applyAlignment="1">
      <alignment horizontal="center"/>
    </xf>
    <xf numFmtId="168" fontId="0" fillId="7" borderId="59" xfId="0" applyNumberFormat="1" applyFill="1" applyBorder="1"/>
    <xf numFmtId="169" fontId="0" fillId="7" borderId="41" xfId="4" applyNumberFormat="1" applyFont="1" applyFill="1" applyBorder="1"/>
    <xf numFmtId="164" fontId="0" fillId="7" borderId="61" xfId="0" applyNumberFormat="1" applyFill="1" applyBorder="1" applyAlignment="1">
      <alignment horizontal="center"/>
    </xf>
    <xf numFmtId="0" fontId="18" fillId="4" borderId="117" xfId="0" applyFont="1" applyFill="1" applyBorder="1" applyAlignment="1">
      <alignment horizontal="center" wrapText="1"/>
    </xf>
    <xf numFmtId="0" fontId="47" fillId="13" borderId="0" xfId="0" applyFont="1" applyFill="1"/>
    <xf numFmtId="44" fontId="0" fillId="0" borderId="0" xfId="0" applyNumberFormat="1" applyAlignment="1">
      <alignment horizontal="right"/>
    </xf>
    <xf numFmtId="10" fontId="0" fillId="0" borderId="0" xfId="0" applyNumberFormat="1" applyAlignment="1">
      <alignment horizontal="right"/>
    </xf>
    <xf numFmtId="172" fontId="0" fillId="0" borderId="0" xfId="0" applyNumberFormat="1"/>
    <xf numFmtId="164" fontId="0" fillId="7" borderId="145" xfId="0" applyNumberFormat="1" applyFill="1" applyBorder="1"/>
    <xf numFmtId="164" fontId="3" fillId="7" borderId="42" xfId="0" applyNumberFormat="1" applyFont="1" applyFill="1" applyBorder="1"/>
    <xf numFmtId="1" fontId="0" fillId="7" borderId="41" xfId="0" quotePrefix="1" applyNumberFormat="1" applyFill="1" applyBorder="1"/>
    <xf numFmtId="0" fontId="0" fillId="7" borderId="118" xfId="0" applyFill="1" applyBorder="1" applyAlignment="1">
      <alignment horizontal="center"/>
    </xf>
    <xf numFmtId="1" fontId="0" fillId="7" borderId="34" xfId="0" applyNumberFormat="1" applyFill="1" applyBorder="1" applyAlignment="1">
      <alignment horizontal="center"/>
    </xf>
    <xf numFmtId="0" fontId="0" fillId="7" borderId="34" xfId="0" applyFill="1" applyBorder="1" applyAlignment="1">
      <alignment horizontal="center"/>
    </xf>
    <xf numFmtId="164" fontId="0" fillId="7" borderId="34" xfId="0" applyNumberFormat="1" applyFill="1" applyBorder="1" applyAlignment="1">
      <alignment horizontal="center"/>
    </xf>
    <xf numFmtId="164" fontId="0" fillId="7" borderId="119" xfId="0" applyNumberFormat="1" applyFill="1" applyBorder="1" applyAlignment="1">
      <alignment horizontal="center"/>
    </xf>
    <xf numFmtId="0" fontId="0" fillId="7" borderId="10" xfId="0" applyFill="1" applyBorder="1" applyAlignment="1">
      <alignment horizontal="center"/>
    </xf>
    <xf numFmtId="1" fontId="0" fillId="7" borderId="2" xfId="0" applyNumberFormat="1" applyFill="1" applyBorder="1" applyAlignment="1">
      <alignment horizontal="center"/>
    </xf>
    <xf numFmtId="0" fontId="0" fillId="7" borderId="2" xfId="0" applyFill="1" applyBorder="1" applyAlignment="1">
      <alignment horizontal="center"/>
    </xf>
    <xf numFmtId="164" fontId="0" fillId="7" borderId="2" xfId="0" applyNumberFormat="1" applyFill="1" applyBorder="1" applyAlignment="1">
      <alignment horizontal="center"/>
    </xf>
    <xf numFmtId="0" fontId="0" fillId="7" borderId="60" xfId="0" applyFill="1" applyBorder="1" applyAlignment="1">
      <alignment horizontal="center"/>
    </xf>
    <xf numFmtId="0" fontId="0" fillId="7" borderId="4" xfId="0" applyFill="1" applyBorder="1" applyAlignment="1">
      <alignment horizontal="center"/>
    </xf>
    <xf numFmtId="164" fontId="0" fillId="7" borderId="4" xfId="0" applyNumberFormat="1" applyFill="1" applyBorder="1" applyAlignment="1">
      <alignment horizontal="center"/>
    </xf>
    <xf numFmtId="1" fontId="0" fillId="7" borderId="4" xfId="0" applyNumberFormat="1" applyFill="1" applyBorder="1" applyAlignment="1">
      <alignment horizontal="center"/>
    </xf>
    <xf numFmtId="1" fontId="0" fillId="7" borderId="93" xfId="0" applyNumberFormat="1" applyFill="1" applyBorder="1"/>
    <xf numFmtId="164" fontId="0" fillId="7" borderId="40" xfId="0" applyNumberFormat="1" applyFill="1" applyBorder="1"/>
    <xf numFmtId="164" fontId="0" fillId="7" borderId="42" xfId="0" applyNumberFormat="1" applyFill="1" applyBorder="1"/>
    <xf numFmtId="168" fontId="0" fillId="13" borderId="0" xfId="0" applyNumberFormat="1" applyFill="1"/>
    <xf numFmtId="164" fontId="0" fillId="13" borderId="0" xfId="0" applyNumberFormat="1" applyFill="1"/>
    <xf numFmtId="167" fontId="0" fillId="13" borderId="50" xfId="0" applyNumberFormat="1" applyFill="1" applyBorder="1"/>
    <xf numFmtId="167" fontId="0" fillId="13" borderId="53" xfId="0" applyNumberFormat="1" applyFill="1" applyBorder="1"/>
    <xf numFmtId="0" fontId="46" fillId="13" borderId="0" xfId="0" applyFont="1" applyFill="1"/>
    <xf numFmtId="8" fontId="0" fillId="13" borderId="0" xfId="0" applyNumberFormat="1" applyFill="1"/>
    <xf numFmtId="0" fontId="32" fillId="13" borderId="0" xfId="0" applyFont="1" applyFill="1"/>
    <xf numFmtId="0" fontId="18" fillId="4" borderId="0" xfId="0" applyFont="1" applyFill="1" applyAlignment="1">
      <alignment horizontal="center" wrapText="1"/>
    </xf>
    <xf numFmtId="10" fontId="0" fillId="13" borderId="54" xfId="0" applyNumberFormat="1" applyFill="1" applyBorder="1"/>
    <xf numFmtId="0" fontId="32" fillId="13" borderId="0" xfId="0" applyFont="1" applyFill="1" applyAlignment="1">
      <alignment horizontal="left"/>
    </xf>
    <xf numFmtId="9" fontId="0" fillId="13" borderId="54" xfId="0" applyNumberFormat="1" applyFill="1" applyBorder="1"/>
    <xf numFmtId="10" fontId="0" fillId="13" borderId="0" xfId="0" applyNumberFormat="1" applyFill="1"/>
    <xf numFmtId="0" fontId="45" fillId="13" borderId="0" xfId="0" applyFont="1" applyFill="1"/>
    <xf numFmtId="15" fontId="0" fillId="13" borderId="0" xfId="0" applyNumberFormat="1" applyFill="1"/>
    <xf numFmtId="0" fontId="0" fillId="13" borderId="56" xfId="0" applyFill="1" applyBorder="1" applyAlignment="1">
      <alignment horizontal="center"/>
    </xf>
    <xf numFmtId="0" fontId="3" fillId="13" borderId="56" xfId="0" applyFont="1" applyFill="1" applyBorder="1" applyAlignment="1">
      <alignment horizontal="center"/>
    </xf>
    <xf numFmtId="164" fontId="36" fillId="2" borderId="5" xfId="3" applyNumberFormat="1" applyFont="1" applyFill="1" applyBorder="1" applyAlignment="1">
      <alignment horizontal="center" vertical="center"/>
    </xf>
    <xf numFmtId="0" fontId="33" fillId="0" borderId="0" xfId="1" applyFont="1" applyFill="1" applyBorder="1" applyAlignment="1">
      <alignment horizontal="left"/>
    </xf>
    <xf numFmtId="0" fontId="0" fillId="6" borderId="146" xfId="0" applyFill="1" applyBorder="1" applyAlignment="1">
      <alignment horizontal="center"/>
    </xf>
    <xf numFmtId="164" fontId="0" fillId="2" borderId="88" xfId="0" applyNumberFormat="1" applyFill="1" applyBorder="1" applyAlignment="1">
      <alignment horizontal="right" vertical="center"/>
    </xf>
    <xf numFmtId="164" fontId="0" fillId="2" borderId="20" xfId="0" applyNumberFormat="1" applyFill="1" applyBorder="1" applyAlignment="1">
      <alignment horizontal="right" vertical="center"/>
    </xf>
    <xf numFmtId="164" fontId="0" fillId="2" borderId="2" xfId="0" applyNumberFormat="1" applyFill="1" applyBorder="1" applyAlignment="1">
      <alignment horizontal="right" vertical="center"/>
    </xf>
    <xf numFmtId="164" fontId="0" fillId="2" borderId="87" xfId="0" applyNumberFormat="1" applyFill="1" applyBorder="1" applyAlignment="1">
      <alignment horizontal="right" vertical="center"/>
    </xf>
    <xf numFmtId="164" fontId="0" fillId="2" borderId="4" xfId="0" applyNumberFormat="1" applyFill="1" applyBorder="1" applyAlignment="1">
      <alignment horizontal="right" vertical="center"/>
    </xf>
    <xf numFmtId="164" fontId="0" fillId="2" borderId="21" xfId="0" applyNumberFormat="1" applyFill="1" applyBorder="1" applyAlignment="1">
      <alignment horizontal="right" vertical="center"/>
    </xf>
    <xf numFmtId="164" fontId="0" fillId="2" borderId="6" xfId="0" applyNumberFormat="1" applyFill="1" applyBorder="1" applyAlignment="1">
      <alignment horizontal="right" vertical="center"/>
    </xf>
    <xf numFmtId="164" fontId="0" fillId="2" borderId="58" xfId="0" applyNumberFormat="1" applyFill="1" applyBorder="1" applyAlignment="1">
      <alignment horizontal="right" vertical="center"/>
    </xf>
    <xf numFmtId="164" fontId="0" fillId="2" borderId="13" xfId="3" applyNumberFormat="1" applyFont="1" applyFill="1" applyBorder="1" applyAlignment="1">
      <alignment horizontal="right" vertical="center"/>
    </xf>
    <xf numFmtId="164" fontId="0" fillId="2" borderId="4" xfId="3" applyNumberFormat="1" applyFont="1" applyFill="1" applyBorder="1" applyAlignment="1">
      <alignment horizontal="right" vertical="center"/>
    </xf>
    <xf numFmtId="164" fontId="32" fillId="2" borderId="43" xfId="0" applyNumberFormat="1" applyFont="1" applyFill="1" applyBorder="1" applyAlignment="1">
      <alignment horizontal="right" vertical="center"/>
    </xf>
    <xf numFmtId="164" fontId="18" fillId="2" borderId="43" xfId="0" applyNumberFormat="1" applyFont="1" applyFill="1" applyBorder="1" applyAlignment="1">
      <alignment horizontal="center"/>
    </xf>
    <xf numFmtId="0" fontId="49" fillId="13" borderId="0" xfId="0" applyFont="1" applyFill="1"/>
    <xf numFmtId="14" fontId="7" fillId="2" borderId="5" xfId="0" applyNumberFormat="1" applyFont="1" applyFill="1" applyBorder="1" applyAlignment="1">
      <alignment horizontal="center" vertical="center"/>
    </xf>
    <xf numFmtId="164" fontId="7" fillId="2" borderId="5" xfId="0" applyNumberFormat="1" applyFont="1" applyFill="1" applyBorder="1" applyAlignment="1">
      <alignment horizontal="center"/>
    </xf>
    <xf numFmtId="14" fontId="7" fillId="3" borderId="5" xfId="0" applyNumberFormat="1" applyFont="1" applyFill="1" applyBorder="1" applyAlignment="1" applyProtection="1">
      <alignment horizontal="center" vertical="center"/>
      <protection locked="0"/>
    </xf>
    <xf numFmtId="1" fontId="7" fillId="3" borderId="5" xfId="0" applyNumberFormat="1" applyFont="1" applyFill="1" applyBorder="1" applyAlignment="1" applyProtection="1">
      <alignment horizontal="center" vertical="center"/>
      <protection locked="0"/>
    </xf>
    <xf numFmtId="14" fontId="0" fillId="3" borderId="5" xfId="0" applyNumberFormat="1" applyFill="1" applyBorder="1" applyAlignment="1" applyProtection="1">
      <alignment horizontal="center" vertical="center"/>
      <protection locked="0"/>
    </xf>
    <xf numFmtId="14" fontId="0" fillId="3" borderId="5" xfId="0" applyNumberFormat="1" applyFill="1" applyBorder="1" applyAlignment="1" applyProtection="1">
      <alignment horizontal="center"/>
      <protection locked="0"/>
    </xf>
    <xf numFmtId="177" fontId="0" fillId="3" borderId="5" xfId="0" applyNumberFormat="1" applyFill="1" applyBorder="1" applyAlignment="1" applyProtection="1">
      <alignment horizontal="center"/>
      <protection locked="0"/>
    </xf>
    <xf numFmtId="164" fontId="0" fillId="3" borderId="40" xfId="0" applyNumberFormat="1" applyFill="1" applyBorder="1" applyAlignment="1" applyProtection="1">
      <alignment horizontal="center"/>
      <protection locked="0"/>
    </xf>
    <xf numFmtId="164" fontId="0" fillId="3" borderId="41" xfId="0" applyNumberFormat="1" applyFill="1" applyBorder="1" applyAlignment="1" applyProtection="1">
      <alignment horizontal="center"/>
      <protection locked="0"/>
    </xf>
    <xf numFmtId="164" fontId="0" fillId="3" borderId="59" xfId="0" applyNumberFormat="1" applyFill="1" applyBorder="1" applyAlignment="1" applyProtection="1">
      <alignment horizontal="center"/>
      <protection locked="0"/>
    </xf>
    <xf numFmtId="1" fontId="0" fillId="3" borderId="19" xfId="0" quotePrefix="1" applyNumberFormat="1" applyFill="1" applyBorder="1" applyAlignment="1" applyProtection="1">
      <alignment horizontal="center" vertical="center"/>
      <protection locked="0"/>
    </xf>
    <xf numFmtId="1" fontId="0" fillId="3" borderId="3" xfId="0" quotePrefix="1" applyNumberFormat="1" applyFill="1" applyBorder="1" applyAlignment="1" applyProtection="1">
      <alignment horizontal="center" vertical="center"/>
      <protection locked="0"/>
    </xf>
    <xf numFmtId="164" fontId="0" fillId="3" borderId="34" xfId="0" applyNumberFormat="1"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 fontId="0" fillId="3" borderId="34"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3" borderId="4" xfId="0" applyNumberFormat="1" applyFill="1" applyBorder="1" applyAlignment="1" applyProtection="1">
      <alignment horizontal="center"/>
      <protection locked="0"/>
    </xf>
    <xf numFmtId="14" fontId="0" fillId="3" borderId="40" xfId="0" applyNumberFormat="1" applyFill="1" applyBorder="1" applyProtection="1">
      <protection locked="0"/>
    </xf>
    <xf numFmtId="0" fontId="0" fillId="3" borderId="41" xfId="0" applyFill="1" applyBorder="1" applyProtection="1">
      <protection locked="0"/>
    </xf>
    <xf numFmtId="0" fontId="0" fillId="3" borderId="40" xfId="0" applyFill="1" applyBorder="1" applyProtection="1">
      <protection locked="0"/>
    </xf>
    <xf numFmtId="0" fontId="0" fillId="3" borderId="5" xfId="0" applyFill="1" applyBorder="1" applyAlignment="1" applyProtection="1">
      <alignment horizontal="center" vertical="center"/>
      <protection locked="0"/>
    </xf>
    <xf numFmtId="177" fontId="0" fillId="8" borderId="5" xfId="0" applyNumberFormat="1" applyFill="1" applyBorder="1" applyAlignment="1" applyProtection="1">
      <alignment horizontal="center"/>
      <protection locked="0"/>
    </xf>
    <xf numFmtId="0" fontId="31" fillId="6" borderId="50" xfId="0" applyFont="1" applyFill="1" applyBorder="1" applyAlignment="1">
      <alignment horizontal="center"/>
    </xf>
    <xf numFmtId="0" fontId="31" fillId="6" borderId="51" xfId="0" applyFont="1" applyFill="1" applyBorder="1" applyAlignment="1">
      <alignment horizontal="center"/>
    </xf>
    <xf numFmtId="0" fontId="31" fillId="6" borderId="52" xfId="0" applyFont="1" applyFill="1" applyBorder="1" applyAlignment="1">
      <alignment horizontal="center"/>
    </xf>
    <xf numFmtId="0" fontId="33" fillId="0" borderId="0" xfId="1" applyFont="1" applyAlignment="1">
      <alignment horizontal="left"/>
    </xf>
    <xf numFmtId="0" fontId="34" fillId="0" borderId="0" xfId="0" applyFont="1" applyAlignment="1">
      <alignment horizontal="left"/>
    </xf>
    <xf numFmtId="0" fontId="1" fillId="0" borderId="0" xfId="1" applyAlignment="1">
      <alignment horizontal="left"/>
    </xf>
    <xf numFmtId="0" fontId="1" fillId="0" borderId="0" xfId="1" applyFill="1"/>
    <xf numFmtId="0" fontId="33" fillId="0" borderId="0" xfId="1" applyFont="1" applyFill="1"/>
    <xf numFmtId="0" fontId="33" fillId="0" borderId="0" xfId="1" applyFont="1" applyFill="1" applyBorder="1" applyAlignment="1">
      <alignment horizontal="left"/>
    </xf>
    <xf numFmtId="0" fontId="0" fillId="12" borderId="89" xfId="0" applyFill="1" applyBorder="1" applyAlignment="1">
      <alignment horizontal="center" wrapText="1"/>
    </xf>
    <xf numFmtId="0" fontId="0" fillId="12" borderId="94" xfId="0" applyFill="1" applyBorder="1" applyAlignment="1">
      <alignment horizontal="center" wrapText="1"/>
    </xf>
    <xf numFmtId="0" fontId="0" fillId="12" borderId="95" xfId="0" applyFill="1" applyBorder="1" applyAlignment="1">
      <alignment horizontal="center" wrapText="1"/>
    </xf>
    <xf numFmtId="0" fontId="0" fillId="12" borderId="78" xfId="0" applyFill="1" applyBorder="1" applyAlignment="1">
      <alignment horizontal="center" vertical="center" wrapText="1"/>
    </xf>
    <xf numFmtId="0" fontId="0" fillId="12" borderId="58" xfId="0" applyFill="1" applyBorder="1" applyAlignment="1">
      <alignment horizontal="center" vertical="center" wrapText="1"/>
    </xf>
    <xf numFmtId="0" fontId="0" fillId="12" borderId="82" xfId="0" applyFill="1" applyBorder="1" applyAlignment="1">
      <alignment horizontal="center" vertical="center"/>
    </xf>
    <xf numFmtId="0" fontId="0" fillId="12" borderId="1" xfId="0" applyFill="1" applyBorder="1" applyAlignment="1">
      <alignment horizontal="center" vertical="center"/>
    </xf>
    <xf numFmtId="0" fontId="0" fillId="12" borderId="77" xfId="0" applyFill="1" applyBorder="1" applyAlignment="1">
      <alignment horizontal="center" vertical="center" wrapText="1"/>
    </xf>
    <xf numFmtId="0" fontId="0" fillId="12" borderId="68" xfId="0" applyFill="1" applyBorder="1" applyAlignment="1">
      <alignment horizontal="center" vertical="center" wrapText="1"/>
    </xf>
    <xf numFmtId="0" fontId="12" fillId="3" borderId="96" xfId="0" applyFont="1" applyFill="1" applyBorder="1" applyAlignment="1">
      <alignment horizontal="center" vertical="center" textRotation="90"/>
    </xf>
    <xf numFmtId="0" fontId="12" fillId="3" borderId="93" xfId="0" applyFont="1" applyFill="1" applyBorder="1" applyAlignment="1">
      <alignment horizontal="center" vertical="center" textRotation="90"/>
    </xf>
    <xf numFmtId="0" fontId="11" fillId="15" borderId="83" xfId="0" applyFont="1" applyFill="1" applyBorder="1" applyAlignment="1">
      <alignment horizontal="center" vertical="center"/>
    </xf>
    <xf numFmtId="0" fontId="11" fillId="15" borderId="93" xfId="0" applyFont="1" applyFill="1" applyBorder="1" applyAlignment="1">
      <alignment horizontal="center" vertical="center"/>
    </xf>
    <xf numFmtId="0" fontId="0" fillId="0" borderId="53" xfId="0" applyBorder="1" applyAlignment="1">
      <alignment horizontal="left" vertical="center" wrapText="1"/>
    </xf>
    <xf numFmtId="0" fontId="0" fillId="0" borderId="55" xfId="0" applyBorder="1" applyAlignment="1">
      <alignment horizontal="left" vertical="center" wrapText="1"/>
    </xf>
    <xf numFmtId="9" fontId="11" fillId="2" borderId="83" xfId="0" applyNumberFormat="1" applyFont="1" applyFill="1" applyBorder="1" applyAlignment="1">
      <alignment horizontal="center" vertical="center"/>
    </xf>
    <xf numFmtId="0" fontId="11" fillId="0" borderId="93" xfId="0" applyFont="1" applyBorder="1" applyAlignment="1">
      <alignment horizontal="center" vertical="center"/>
    </xf>
    <xf numFmtId="9" fontId="11" fillId="16" borderId="83" xfId="0" applyNumberFormat="1" applyFont="1" applyFill="1" applyBorder="1" applyAlignment="1">
      <alignment horizontal="center" vertical="center"/>
    </xf>
    <xf numFmtId="9" fontId="11" fillId="16" borderId="93" xfId="0" applyNumberFormat="1" applyFont="1" applyFill="1" applyBorder="1" applyAlignment="1">
      <alignment horizontal="center" vertical="center"/>
    </xf>
    <xf numFmtId="0" fontId="0" fillId="0" borderId="50" xfId="0" applyBorder="1" applyAlignment="1">
      <alignment horizontal="left" vertical="center" wrapText="1"/>
    </xf>
    <xf numFmtId="0" fontId="0" fillId="12" borderId="89" xfId="0" applyFill="1" applyBorder="1" applyAlignment="1">
      <alignment horizontal="center"/>
    </xf>
    <xf numFmtId="0" fontId="0" fillId="12" borderId="94" xfId="0" applyFill="1" applyBorder="1" applyAlignment="1">
      <alignment horizontal="center"/>
    </xf>
    <xf numFmtId="0" fontId="0" fillId="12" borderId="95" xfId="0" applyFill="1" applyBorder="1" applyAlignment="1">
      <alignment horizontal="center"/>
    </xf>
  </cellXfs>
  <cellStyles count="5">
    <cellStyle name="Lien hypertexte" xfId="1" builtinId="8"/>
    <cellStyle name="Monétaire" xfId="3" builtinId="4"/>
    <cellStyle name="Monétaire 2" xfId="2" xr:uid="{4402B29B-A871-404E-AEAA-7760CA4F8B0D}"/>
    <cellStyle name="Normal" xfId="0" builtinId="0"/>
    <cellStyle name="Pourcentage" xfId="4" builtinId="5"/>
  </cellStyles>
  <dxfs count="52">
    <dxf>
      <font>
        <b val="0"/>
        <i val="0"/>
        <strike val="0"/>
        <condense val="0"/>
        <extend val="0"/>
        <outline val="0"/>
        <shadow val="0"/>
        <u val="none"/>
        <vertAlign val="baseline"/>
        <sz val="9.35"/>
        <color rgb="FF000000"/>
        <name val="Verdana"/>
        <family val="2"/>
        <scheme val="none"/>
      </font>
      <numFmt numFmtId="14" formatCode="0.00%"/>
      <fill>
        <patternFill patternType="solid">
          <fgColor indexed="64"/>
          <bgColor rgb="FFFFFFCC"/>
        </patternFill>
      </fill>
      <alignment horizontal="center" vertical="center" textRotation="0" wrapText="1" indent="0" justifyLastLine="0" shrinkToFit="0" readingOrder="0"/>
      <border diagonalUp="0" diagonalDown="0" outline="0">
        <left style="double">
          <color rgb="FF000000"/>
        </left>
        <right/>
        <top style="thin">
          <color rgb="FF000000"/>
        </top>
        <bottom style="thin">
          <color rgb="FF000000"/>
        </bottom>
      </border>
    </dxf>
    <dxf>
      <font>
        <b val="0"/>
        <i val="0"/>
        <strike val="0"/>
        <condense val="0"/>
        <extend val="0"/>
        <outline val="0"/>
        <shadow val="0"/>
        <u val="none"/>
        <vertAlign val="baseline"/>
        <sz val="9.35"/>
        <color rgb="FF000000"/>
        <name val="Verdana"/>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outline="0">
        <left/>
        <right style="double">
          <color rgb="FF000000"/>
        </right>
        <top style="thin">
          <color rgb="FF000000"/>
        </top>
        <bottom style="thin">
          <color rgb="FF000000"/>
        </bottom>
      </border>
    </dxf>
    <dxf>
      <border outline="0">
        <left style="thick">
          <color rgb="FF000000"/>
        </left>
        <right style="thick">
          <color rgb="FF000000"/>
        </right>
        <top style="thick">
          <color rgb="FF000000"/>
        </top>
        <bottom style="thick">
          <color rgb="FF000000"/>
        </bottom>
      </border>
    </dxf>
    <dxf>
      <border outline="0">
        <bottom style="double">
          <color rgb="FF000000"/>
        </bottom>
      </border>
    </dxf>
    <dxf>
      <font>
        <b/>
        <i val="0"/>
        <strike val="0"/>
        <condense val="0"/>
        <extend val="0"/>
        <outline val="0"/>
        <shadow val="0"/>
        <u val="none"/>
        <vertAlign val="baseline"/>
        <sz val="9.35"/>
        <color rgb="FF000000"/>
        <name val="Verdana"/>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double">
          <color rgb="FF000000"/>
        </left>
        <right style="double">
          <color rgb="FF000000"/>
        </right>
        <top/>
        <bottom/>
      </border>
    </dxf>
    <dxf>
      <numFmt numFmtId="12" formatCode="#,##0.00\ &quot;$&quot;_);[Red]\(#,##0.00\ &quot;$&quot;\)"/>
      <fill>
        <patternFill patternType="solid">
          <fgColor indexed="64"/>
          <bgColor rgb="FFFFFF00"/>
        </patternFill>
      </fill>
      <border diagonalUp="0" diagonalDown="0" outline="0">
        <left style="thin">
          <color auto="1"/>
        </left>
        <right style="thin">
          <color auto="1"/>
        </right>
        <top style="thin">
          <color auto="1"/>
        </top>
        <bottom style="thin">
          <color auto="1"/>
        </bottom>
      </border>
    </dxf>
    <dxf>
      <numFmt numFmtId="12" formatCode="#,##0.00\ &quot;$&quot;_);[Red]\(#,##0.00\ &quot;$&quot;\)"/>
      <border diagonalUp="0" diagonalDown="0" outline="0">
        <left style="thin">
          <color indexed="64"/>
        </left>
        <right style="thin">
          <color indexed="64"/>
        </right>
        <top style="thin">
          <color auto="1"/>
        </top>
        <bottom style="thin">
          <color auto="1"/>
        </bottom>
      </border>
    </dxf>
    <dxf>
      <numFmt numFmtId="164" formatCode="#,##0\ &quot;$&quot;"/>
      <fill>
        <patternFill patternType="solid">
          <fgColor indexed="64"/>
          <bgColor rgb="FFFFFF00"/>
        </patternFill>
      </fill>
      <border diagonalUp="0" diagonalDown="0" outline="0">
        <left style="thin">
          <color auto="1"/>
        </left>
        <right style="thin">
          <color auto="1"/>
        </right>
        <top style="thin">
          <color auto="1"/>
        </top>
        <bottom style="thin">
          <color auto="1"/>
        </bottom>
      </border>
    </dxf>
    <dxf>
      <numFmt numFmtId="12" formatCode="#,##0.00\ &quot;$&quot;_);[Red]\(#,##0.00\ &quot;$&quot;\)"/>
      <alignment horizontal="center" vertical="bottom" textRotation="0" wrapText="0" indent="0" justifyLastLine="0" shrinkToFit="0" readingOrder="0"/>
      <border diagonalUp="0" diagonalDown="0" outline="0">
        <left style="thin">
          <color auto="1"/>
        </left>
        <right style="thin">
          <color indexed="64"/>
        </right>
        <top style="thin">
          <color auto="1"/>
        </top>
        <bottom style="thin">
          <color auto="1"/>
        </bottom>
      </border>
    </dxf>
    <dxf>
      <numFmt numFmtId="164" formatCode="#,##0\ &quot;$&quot;"/>
      <border diagonalUp="0" diagonalDown="0">
        <left/>
        <right style="thin">
          <color auto="1"/>
        </right>
        <top style="thin">
          <color auto="1"/>
        </top>
        <bottom style="thin">
          <color auto="1"/>
        </bottom>
        <vertical/>
        <horizontal/>
      </border>
    </dxf>
    <dxf>
      <numFmt numFmtId="164" formatCode="#,##0\ &quot;$&quot;"/>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border>
        <bottom style="thin">
          <color auto="1"/>
        </bottom>
      </border>
    </dxf>
    <dxf>
      <font>
        <strike val="0"/>
        <outline val="0"/>
        <shadow val="0"/>
        <u val="none"/>
        <vertAlign val="baseline"/>
        <sz val="11"/>
        <color auto="1"/>
        <name val="Calibri"/>
        <family val="2"/>
        <scheme val="minor"/>
      </font>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12" formatCode="#,##0.00\ &quot;$&quot;_);[Red]\(#,##0.00\ &quot;$&quot;\)"/>
      <fill>
        <patternFill patternType="solid">
          <fgColor indexed="64"/>
          <bgColor rgb="FFFFFF00"/>
        </patternFill>
      </fill>
      <border diagonalUp="0" diagonalDown="0" outline="0">
        <left style="thin">
          <color auto="1"/>
        </left>
        <right style="thin">
          <color auto="1"/>
        </right>
        <top style="thin">
          <color auto="1"/>
        </top>
        <bottom style="thin">
          <color auto="1"/>
        </bottom>
      </border>
    </dxf>
    <dxf>
      <numFmt numFmtId="12" formatCode="#,##0.00\ &quot;$&quot;_);[Red]\(#,##0.00\ &quot;$&quot;\)"/>
      <border diagonalUp="0" diagonalDown="0" outline="0">
        <left style="thin">
          <color indexed="64"/>
        </left>
        <right style="thin">
          <color indexed="64"/>
        </right>
        <top style="thin">
          <color auto="1"/>
        </top>
        <bottom style="thin">
          <color auto="1"/>
        </bottom>
      </border>
    </dxf>
    <dxf>
      <numFmt numFmtId="164" formatCode="#,##0\ &quot;$&quot;"/>
      <fill>
        <patternFill patternType="solid">
          <fgColor indexed="64"/>
          <bgColor rgb="FFFFFF00"/>
        </patternFill>
      </fill>
      <border diagonalUp="0" diagonalDown="0" outline="0">
        <left style="thin">
          <color auto="1"/>
        </left>
        <right style="thin">
          <color auto="1"/>
        </right>
        <top style="thin">
          <color auto="1"/>
        </top>
        <bottom style="thin">
          <color auto="1"/>
        </bottom>
      </border>
    </dxf>
    <dxf>
      <numFmt numFmtId="12" formatCode="#,##0.00\ &quot;$&quot;_);[Red]\(#,##0.00\ &quot;$&quot;\)"/>
      <alignment horizontal="center" vertical="bottom" textRotation="0" wrapText="0" indent="0" justifyLastLine="0" shrinkToFit="0" readingOrder="0"/>
      <border diagonalUp="0" diagonalDown="0" outline="0">
        <left style="thin">
          <color auto="1"/>
        </left>
        <right style="thin">
          <color indexed="64"/>
        </right>
        <top style="thin">
          <color auto="1"/>
        </top>
        <bottom style="thin">
          <color auto="1"/>
        </bottom>
      </border>
    </dxf>
    <dxf>
      <numFmt numFmtId="164" formatCode="#,##0\ &quot;$&quot;"/>
      <border diagonalUp="0" diagonalDown="0">
        <left/>
        <right style="thin">
          <color auto="1"/>
        </right>
        <top style="thin">
          <color auto="1"/>
        </top>
        <bottom style="thin">
          <color auto="1"/>
        </bottom>
        <vertical/>
        <horizontal/>
      </border>
    </dxf>
    <dxf>
      <numFmt numFmtId="164" formatCode="#,##0\ &quot;$&quot;"/>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border>
        <bottom style="thin">
          <color auto="1"/>
        </bottom>
      </border>
    </dxf>
    <dxf>
      <font>
        <strike val="0"/>
        <outline val="0"/>
        <shadow val="0"/>
        <u val="none"/>
        <vertAlign val="baseline"/>
        <sz val="11"/>
        <color auto="1"/>
        <name val="Calibri"/>
        <family val="2"/>
        <scheme val="minor"/>
      </font>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rgb="FF000000"/>
        <name val="Calibri"/>
        <family val="2"/>
        <scheme val="minor"/>
      </font>
      <numFmt numFmtId="11" formatCode="#,##0.00\ &quot;$&quot;_);\(#,##0.00\ &quot;$&quot;\)"/>
      <fill>
        <patternFill patternType="solid">
          <fgColor indexed="64"/>
          <bgColor rgb="FFFFFFCC"/>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Calibri"/>
        <family val="2"/>
        <scheme val="minor"/>
      </font>
      <numFmt numFmtId="11" formatCode="#,##0.00\ &quot;$&quot;_);\(#,##0.00\ &quot;$&quot;\)"/>
      <fill>
        <patternFill patternType="solid">
          <fgColor indexed="64"/>
          <bgColor rgb="FFFFFFCC"/>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family val="2"/>
        <scheme val="minor"/>
      </font>
      <numFmt numFmtId="11" formatCode="#,##0.00\ &quot;$&quot;_);\(#,##0.00\ &quot;$&quot;\)"/>
      <fill>
        <patternFill patternType="solid">
          <fgColor indexed="64"/>
          <bgColor rgb="FFFFFFCC"/>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family val="2"/>
        <scheme val="minor"/>
      </font>
      <numFmt numFmtId="11" formatCode="#,##0.00\ &quot;$&quot;_);\(#,##0.00\ &quot;$&quot;\)"/>
      <fill>
        <patternFill patternType="solid">
          <fgColor indexed="64"/>
          <bgColor rgb="FFFFFFCC"/>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family val="2"/>
        <scheme val="minor"/>
      </font>
      <numFmt numFmtId="11" formatCode="#,##0.00\ &quot;$&quot;_);\(#,##0.00\ &quot;$&quot;\)"/>
      <fill>
        <patternFill patternType="solid">
          <fgColor indexed="64"/>
          <bgColor rgb="FFFFFFCC"/>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family val="2"/>
        <scheme val="minor"/>
      </font>
      <numFmt numFmtId="11" formatCode="#,##0.00\ &quot;$&quot;_);\(#,##0.00\ &quot;$&quot;\)"/>
      <fill>
        <patternFill patternType="solid">
          <fgColor indexed="64"/>
          <bgColor rgb="FFFFFFCC"/>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ill>
        <patternFill patternType="solid">
          <fgColor indexed="64"/>
          <bgColor rgb="FFFFFFCC"/>
        </patternFill>
      </fil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solid">
          <fgColor indexed="64"/>
          <bgColor theme="5" tint="0.59999389629810485"/>
        </patternFill>
      </fill>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ck">
          <color auto="1"/>
        </left>
        <right style="thick">
          <color auto="1"/>
        </right>
        <top style="thick">
          <color auto="1"/>
        </top>
        <bottom style="thick">
          <color auto="1"/>
        </bottom>
      </border>
    </dxf>
    <dxf>
      <font>
        <b val="0"/>
        <i val="0"/>
        <strike val="0"/>
        <condense val="0"/>
        <extend val="0"/>
        <outline val="0"/>
        <shadow val="0"/>
        <u val="none"/>
        <vertAlign val="baseline"/>
        <sz val="11"/>
        <color rgb="FF000000"/>
        <name val="Calibri"/>
        <family val="2"/>
        <scheme val="minor"/>
      </font>
      <fill>
        <patternFill patternType="solid">
          <fgColor indexed="64"/>
          <bgColor rgb="FFE8EFE8"/>
        </patternFill>
      </fill>
      <alignment horizontal="center" vertical="center" textRotation="0" wrapText="1" indent="0" justifyLastLine="0" shrinkToFit="0" readingOrder="0"/>
    </dxf>
    <dxf>
      <border>
        <bottom style="thin">
          <color auto="1"/>
        </bottom>
      </border>
    </dxf>
    <dxf>
      <font>
        <strike val="0"/>
        <outline val="0"/>
        <shadow val="0"/>
        <u val="none"/>
        <vertAlign val="baseline"/>
        <sz val="11"/>
        <name val="Calibri"/>
        <family val="2"/>
        <scheme val="minor"/>
      </font>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0\ &quot;$&quo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rgb="FFFFFFCC"/>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Calibri"/>
        <family val="2"/>
        <scheme val="minor"/>
      </font>
      <numFmt numFmtId="164" formatCode="#,##0\ &quot;$&quo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0\ &quot;$&quot;"/>
      <fill>
        <patternFill patternType="solid">
          <fgColor indexed="64"/>
          <bgColor rgb="FFFFFFCC"/>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Calibri"/>
        <family val="2"/>
        <scheme val="minor"/>
      </font>
      <numFmt numFmtId="164" formatCode="#,##0\ &quot;$&quo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0\ &quot;$&quo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left style="thick">
          <color auto="1"/>
        </left>
        <right style="thick">
          <color indexed="64"/>
        </right>
        <top style="thick">
          <color auto="1"/>
        </top>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59999389629810485"/>
        </patternFill>
      </fill>
      <alignment horizontal="center" vertical="bottom" textRotation="0" wrapText="1" indent="0" justifyLastLine="0" shrinkToFit="0" readingOrder="0"/>
    </dxf>
  </dxfs>
  <tableStyles count="0" defaultTableStyle="TableStyleMedium2" defaultPivotStyle="PivotStyleLight16"/>
  <colors>
    <mruColors>
      <color rgb="FFFFFFCC"/>
      <color rgb="FFFFCCCC"/>
      <color rgb="FFFFFF99"/>
      <color rgb="FFFF99CC"/>
      <color rgb="FFF1D9F3"/>
      <color rgb="FF00FFFF"/>
      <color rgb="FFFFFF66"/>
      <color rgb="FF00FF99"/>
      <color rgb="FF0CF486"/>
      <color rgb="FF19E7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92139416610343E-2"/>
          <c:y val="0.11265190183318793"/>
          <c:w val="0.91688252124263281"/>
          <c:h val="0.8102052100478514"/>
        </c:manualLayout>
      </c:layout>
      <c:lineChart>
        <c:grouping val="standard"/>
        <c:varyColors val="0"/>
        <c:ser>
          <c:idx val="0"/>
          <c:order val="0"/>
          <c:spPr>
            <a:ln w="31750" cap="rnd">
              <a:solidFill>
                <a:schemeClr val="accent6">
                  <a:lumMod val="75000"/>
                </a:schemeClr>
              </a:solidFill>
              <a:round/>
            </a:ln>
            <a:effectLst/>
          </c:spPr>
          <c:marker>
            <c:symbol val="none"/>
          </c:marker>
          <c:cat>
            <c:numRef>
              <c:f>PP!$B$50:$B$102</c:f>
              <c:numCache>
                <c:formatCode>General</c:formatCode>
                <c:ptCount val="53"/>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pt idx="43">
                  <c:v>2016</c:v>
                </c:pt>
                <c:pt idx="44">
                  <c:v>2017</c:v>
                </c:pt>
                <c:pt idx="45">
                  <c:v>2018</c:v>
                </c:pt>
                <c:pt idx="46">
                  <c:v>2019</c:v>
                </c:pt>
                <c:pt idx="47">
                  <c:v>2020</c:v>
                </c:pt>
                <c:pt idx="48">
                  <c:v>2021</c:v>
                </c:pt>
                <c:pt idx="49">
                  <c:v>2022</c:v>
                </c:pt>
                <c:pt idx="50">
                  <c:v>2023</c:v>
                </c:pt>
                <c:pt idx="51">
                  <c:v>2024</c:v>
                </c:pt>
                <c:pt idx="52">
                  <c:v>2025</c:v>
                </c:pt>
              </c:numCache>
            </c:numRef>
          </c:cat>
          <c:val>
            <c:numRef>
              <c:f>PP!$C$50:$C$102</c:f>
              <c:numCache>
                <c:formatCode>0.00%</c:formatCode>
                <c:ptCount val="53"/>
                <c:pt idx="0">
                  <c:v>7.4999999999999997E-2</c:v>
                </c:pt>
                <c:pt idx="1">
                  <c:v>7.4999999999999997E-2</c:v>
                </c:pt>
                <c:pt idx="2">
                  <c:v>7.4999999999999997E-2</c:v>
                </c:pt>
                <c:pt idx="3">
                  <c:v>7.4999999999999997E-2</c:v>
                </c:pt>
                <c:pt idx="4">
                  <c:v>7.4999999999999997E-2</c:v>
                </c:pt>
                <c:pt idx="5">
                  <c:v>7.4999999999999997E-2</c:v>
                </c:pt>
                <c:pt idx="6">
                  <c:v>7.4999999999999997E-2</c:v>
                </c:pt>
                <c:pt idx="7">
                  <c:v>7.4999999999999997E-2</c:v>
                </c:pt>
                <c:pt idx="8">
                  <c:v>7.4999999999999997E-2</c:v>
                </c:pt>
                <c:pt idx="9">
                  <c:v>7.4999999999999997E-2</c:v>
                </c:pt>
                <c:pt idx="10">
                  <c:v>7.0999999999999994E-2</c:v>
                </c:pt>
                <c:pt idx="11">
                  <c:v>7.0000000000000007E-2</c:v>
                </c:pt>
                <c:pt idx="12">
                  <c:v>7.0000000000000007E-2</c:v>
                </c:pt>
                <c:pt idx="13">
                  <c:v>7.0000000000000007E-2</c:v>
                </c:pt>
                <c:pt idx="14">
                  <c:v>7.0000000000000007E-2</c:v>
                </c:pt>
                <c:pt idx="15">
                  <c:v>7.0000000000000007E-2</c:v>
                </c:pt>
                <c:pt idx="16">
                  <c:v>7.0000000000000007E-2</c:v>
                </c:pt>
                <c:pt idx="17">
                  <c:v>7.0000000000000007E-2</c:v>
                </c:pt>
                <c:pt idx="18">
                  <c:v>7.0000000000000007E-2</c:v>
                </c:pt>
                <c:pt idx="19">
                  <c:v>7.0000000000000007E-2</c:v>
                </c:pt>
                <c:pt idx="20">
                  <c:v>7.6799999999999993E-2</c:v>
                </c:pt>
                <c:pt idx="21">
                  <c:v>7.6799999999999993E-2</c:v>
                </c:pt>
                <c:pt idx="22">
                  <c:v>7.6799999999999993E-2</c:v>
                </c:pt>
                <c:pt idx="23">
                  <c:v>7.9500000000000001E-2</c:v>
                </c:pt>
                <c:pt idx="24">
                  <c:v>7.9500000000000001E-2</c:v>
                </c:pt>
                <c:pt idx="25">
                  <c:v>7.9500000000000001E-2</c:v>
                </c:pt>
                <c:pt idx="26">
                  <c:v>7.9500000000000001E-2</c:v>
                </c:pt>
                <c:pt idx="27">
                  <c:v>5.3499999999999999E-2</c:v>
                </c:pt>
                <c:pt idx="28">
                  <c:v>5.3499999999999999E-2</c:v>
                </c:pt>
                <c:pt idx="29">
                  <c:v>5.3499999999999999E-2</c:v>
                </c:pt>
                <c:pt idx="30">
                  <c:v>5.3499999999999999E-2</c:v>
                </c:pt>
                <c:pt idx="31">
                  <c:v>5.3499999999999999E-2</c:v>
                </c:pt>
                <c:pt idx="32">
                  <c:v>7.0599999999999996E-2</c:v>
                </c:pt>
                <c:pt idx="33">
                  <c:v>7.0599999999999996E-2</c:v>
                </c:pt>
                <c:pt idx="34">
                  <c:v>7.0599999999999996E-2</c:v>
                </c:pt>
                <c:pt idx="35">
                  <c:v>8.1900000000000001E-2</c:v>
                </c:pt>
                <c:pt idx="36">
                  <c:v>8.1900000000000001E-2</c:v>
                </c:pt>
                <c:pt idx="37">
                  <c:v>8.1900000000000001E-2</c:v>
                </c:pt>
                <c:pt idx="38">
                  <c:v>8.6899999999999991E-2</c:v>
                </c:pt>
                <c:pt idx="39">
                  <c:v>8.9399999999999993E-2</c:v>
                </c:pt>
                <c:pt idx="40">
                  <c:v>9.1799999999999993E-2</c:v>
                </c:pt>
                <c:pt idx="41">
                  <c:v>9.8400000000000001E-2</c:v>
                </c:pt>
                <c:pt idx="42">
                  <c:v>0.105</c:v>
                </c:pt>
                <c:pt idx="43">
                  <c:v>0.11119999999999999</c:v>
                </c:pt>
                <c:pt idx="44">
                  <c:v>0.1105</c:v>
                </c:pt>
                <c:pt idx="45">
                  <c:v>0.10970000000000001</c:v>
                </c:pt>
                <c:pt idx="46">
                  <c:v>0.10879999999999999</c:v>
                </c:pt>
                <c:pt idx="47">
                  <c:v>0.10630000000000001</c:v>
                </c:pt>
                <c:pt idx="48">
                  <c:v>0.1033</c:v>
                </c:pt>
                <c:pt idx="49">
                  <c:v>0.10039999999999999</c:v>
                </c:pt>
                <c:pt idx="50">
                  <c:v>9.69E-2</c:v>
                </c:pt>
                <c:pt idx="51">
                  <c:v>9.3899999999999997E-2</c:v>
                </c:pt>
                <c:pt idx="52">
                  <c:v>9.0899999999999995E-2</c:v>
                </c:pt>
              </c:numCache>
            </c:numRef>
          </c:val>
          <c:smooth val="0"/>
          <c:extLst>
            <c:ext xmlns:c16="http://schemas.microsoft.com/office/drawing/2014/chart" uri="{C3380CC4-5D6E-409C-BE32-E72D297353CC}">
              <c16:uniqueId val="{00000000-51F5-4408-A805-B8E8654234BD}"/>
            </c:ext>
          </c:extLst>
        </c:ser>
        <c:dLbls>
          <c:showLegendKey val="0"/>
          <c:showVal val="0"/>
          <c:showCatName val="0"/>
          <c:showSerName val="0"/>
          <c:showPercent val="0"/>
          <c:showBubbleSize val="0"/>
        </c:dLbls>
        <c:smooth val="0"/>
        <c:axId val="772141144"/>
        <c:axId val="772140816"/>
      </c:lineChart>
      <c:catAx>
        <c:axId val="77214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0816"/>
        <c:crosses val="autoZero"/>
        <c:auto val="1"/>
        <c:lblAlgn val="ctr"/>
        <c:lblOffset val="100"/>
        <c:noMultiLvlLbl val="0"/>
      </c:catAx>
      <c:valAx>
        <c:axId val="772140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1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77638081472592E-2"/>
          <c:y val="0.11437269962475079"/>
          <c:w val="0.92877589193670096"/>
          <c:h val="0.83617648053124571"/>
        </c:manualLayout>
      </c:layout>
      <c:lineChart>
        <c:grouping val="standard"/>
        <c:varyColors val="0"/>
        <c:ser>
          <c:idx val="0"/>
          <c:order val="0"/>
          <c:spPr>
            <a:ln w="31750" cap="rnd">
              <a:solidFill>
                <a:srgbClr val="FF0000"/>
              </a:solidFill>
              <a:round/>
            </a:ln>
            <a:effectLst/>
          </c:spPr>
          <c:marker>
            <c:symbol val="none"/>
          </c:marker>
          <c:cat>
            <c:numRef>
              <c:f>PP!$B$106:$B$134</c:f>
              <c:numCache>
                <c:formatCode>General</c:formatCode>
                <c:ptCount val="29"/>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numCache>
            </c:numRef>
          </c:cat>
          <c:val>
            <c:numRef>
              <c:f>PP!$C$106:$C$134</c:f>
              <c:numCache>
                <c:formatCode>0.00%</c:formatCode>
                <c:ptCount val="29"/>
                <c:pt idx="0">
                  <c:v>6.3500000000000001E-2</c:v>
                </c:pt>
                <c:pt idx="1">
                  <c:v>6.3500000000000001E-2</c:v>
                </c:pt>
                <c:pt idx="2">
                  <c:v>6.3500000000000001E-2</c:v>
                </c:pt>
                <c:pt idx="3">
                  <c:v>0.01</c:v>
                </c:pt>
                <c:pt idx="4">
                  <c:v>0.01</c:v>
                </c:pt>
                <c:pt idx="5">
                  <c:v>4.4999999999999998E-2</c:v>
                </c:pt>
                <c:pt idx="6">
                  <c:v>4.4999999999999998E-2</c:v>
                </c:pt>
                <c:pt idx="7">
                  <c:v>4.4999999999999998E-2</c:v>
                </c:pt>
                <c:pt idx="8">
                  <c:v>7.7800000000000008E-2</c:v>
                </c:pt>
                <c:pt idx="9">
                  <c:v>7.7800000000000008E-2</c:v>
                </c:pt>
                <c:pt idx="10">
                  <c:v>7.7800000000000008E-2</c:v>
                </c:pt>
                <c:pt idx="11">
                  <c:v>0.10539999999999999</c:v>
                </c:pt>
                <c:pt idx="12">
                  <c:v>0.10539999999999999</c:v>
                </c:pt>
                <c:pt idx="13">
                  <c:v>0.10539999999999999</c:v>
                </c:pt>
                <c:pt idx="14">
                  <c:v>0.11539999999999999</c:v>
                </c:pt>
                <c:pt idx="15">
                  <c:v>0.12300000000000001</c:v>
                </c:pt>
                <c:pt idx="16">
                  <c:v>0.12300000000000001</c:v>
                </c:pt>
                <c:pt idx="17">
                  <c:v>0.14380000000000001</c:v>
                </c:pt>
                <c:pt idx="18">
                  <c:v>0.14380000000000001</c:v>
                </c:pt>
                <c:pt idx="19">
                  <c:v>0.14380000000000001</c:v>
                </c:pt>
                <c:pt idx="20">
                  <c:v>0.15029999999999999</c:v>
                </c:pt>
                <c:pt idx="21">
                  <c:v>0.12820000000000001</c:v>
                </c:pt>
                <c:pt idx="22">
                  <c:v>0.12820000000000001</c:v>
                </c:pt>
                <c:pt idx="23">
                  <c:v>0.1229</c:v>
                </c:pt>
                <c:pt idx="24">
                  <c:v>0.1229</c:v>
                </c:pt>
                <c:pt idx="25">
                  <c:v>0.1229</c:v>
                </c:pt>
                <c:pt idx="26">
                  <c:v>0.12670000000000001</c:v>
                </c:pt>
                <c:pt idx="27">
                  <c:v>0.12670000000000001</c:v>
                </c:pt>
                <c:pt idx="28">
                  <c:v>0.12670000000000001</c:v>
                </c:pt>
              </c:numCache>
            </c:numRef>
          </c:val>
          <c:smooth val="0"/>
          <c:extLst>
            <c:ext xmlns:c16="http://schemas.microsoft.com/office/drawing/2014/chart" uri="{C3380CC4-5D6E-409C-BE32-E72D297353CC}">
              <c16:uniqueId val="{00000000-099B-4B2B-AED1-09A39E97FBF3}"/>
            </c:ext>
          </c:extLst>
        </c:ser>
        <c:dLbls>
          <c:showLegendKey val="0"/>
          <c:showVal val="0"/>
          <c:showCatName val="0"/>
          <c:showSerName val="0"/>
          <c:showPercent val="0"/>
          <c:showBubbleSize val="0"/>
        </c:dLbls>
        <c:smooth val="0"/>
        <c:axId val="772141144"/>
        <c:axId val="772140816"/>
      </c:lineChart>
      <c:catAx>
        <c:axId val="77214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0816"/>
        <c:crosses val="autoZero"/>
        <c:auto val="1"/>
        <c:lblAlgn val="ctr"/>
        <c:lblOffset val="100"/>
        <c:noMultiLvlLbl val="0"/>
      </c:catAx>
      <c:valAx>
        <c:axId val="772140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1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0858040893038"/>
          <c:y val="0.13065604427365476"/>
          <c:w val="0.8803305142412754"/>
          <c:h val="0.77705595285051043"/>
        </c:manualLayout>
      </c:layout>
      <c:barChart>
        <c:barDir val="col"/>
        <c:grouping val="clustered"/>
        <c:varyColors val="0"/>
        <c:ser>
          <c:idx val="0"/>
          <c:order val="0"/>
          <c:tx>
            <c:strRef>
              <c:f>PP!$M$49</c:f>
              <c:strCache>
                <c:ptCount val="1"/>
                <c:pt idx="0">
                  <c:v>Mds $</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PP!$L$50:$L$75</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PP!$M$50:$M$75</c:f>
              <c:numCache>
                <c:formatCode>0.00</c:formatCode>
                <c:ptCount val="26"/>
                <c:pt idx="0">
                  <c:v>19.8</c:v>
                </c:pt>
                <c:pt idx="1">
                  <c:v>22.8</c:v>
                </c:pt>
                <c:pt idx="2">
                  <c:v>25.6</c:v>
                </c:pt>
                <c:pt idx="3">
                  <c:v>29.7</c:v>
                </c:pt>
                <c:pt idx="4">
                  <c:v>31.6</c:v>
                </c:pt>
                <c:pt idx="5">
                  <c:v>30</c:v>
                </c:pt>
                <c:pt idx="6">
                  <c:v>27.2</c:v>
                </c:pt>
                <c:pt idx="7">
                  <c:v>31</c:v>
                </c:pt>
                <c:pt idx="8">
                  <c:v>34.299999999999997</c:v>
                </c:pt>
                <c:pt idx="9">
                  <c:v>38.9</c:v>
                </c:pt>
                <c:pt idx="10">
                  <c:v>44.2</c:v>
                </c:pt>
                <c:pt idx="11">
                  <c:v>46.1</c:v>
                </c:pt>
                <c:pt idx="12">
                  <c:v>33.799999999999997</c:v>
                </c:pt>
                <c:pt idx="13">
                  <c:v>37.200000000000003</c:v>
                </c:pt>
                <c:pt idx="14">
                  <c:v>41.3</c:v>
                </c:pt>
                <c:pt idx="15">
                  <c:v>42</c:v>
                </c:pt>
                <c:pt idx="16">
                  <c:v>45.1</c:v>
                </c:pt>
                <c:pt idx="17">
                  <c:v>50.4</c:v>
                </c:pt>
                <c:pt idx="18">
                  <c:v>55.7</c:v>
                </c:pt>
                <c:pt idx="19">
                  <c:v>59.9</c:v>
                </c:pt>
                <c:pt idx="20">
                  <c:v>63.6</c:v>
                </c:pt>
                <c:pt idx="21">
                  <c:v>68.5</c:v>
                </c:pt>
                <c:pt idx="22">
                  <c:v>70.400000000000006</c:v>
                </c:pt>
                <c:pt idx="23">
                  <c:v>76.8</c:v>
                </c:pt>
                <c:pt idx="24">
                  <c:v>82.05</c:v>
                </c:pt>
                <c:pt idx="25">
                  <c:v>91.5</c:v>
                </c:pt>
              </c:numCache>
            </c:numRef>
          </c:val>
          <c:extLst>
            <c:ext xmlns:c16="http://schemas.microsoft.com/office/drawing/2014/chart" uri="{C3380CC4-5D6E-409C-BE32-E72D297353CC}">
              <c16:uniqueId val="{00000000-AE55-432F-95BE-E480DE7BA687}"/>
            </c:ext>
          </c:extLst>
        </c:ser>
        <c:dLbls>
          <c:showLegendKey val="0"/>
          <c:showVal val="0"/>
          <c:showCatName val="0"/>
          <c:showSerName val="0"/>
          <c:showPercent val="0"/>
          <c:showBubbleSize val="0"/>
        </c:dLbls>
        <c:gapWidth val="219"/>
        <c:overlap val="-27"/>
        <c:axId val="734664816"/>
        <c:axId val="734672688"/>
      </c:barChart>
      <c:catAx>
        <c:axId val="734664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72688"/>
        <c:crosses val="autoZero"/>
        <c:auto val="1"/>
        <c:lblAlgn val="ctr"/>
        <c:lblOffset val="100"/>
        <c:noMultiLvlLbl val="0"/>
      </c:catAx>
      <c:valAx>
        <c:axId val="734672688"/>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64816"/>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0858040893038"/>
          <c:y val="0.13065604427365476"/>
          <c:w val="0.8803305142412754"/>
          <c:h val="0.77705595285051043"/>
        </c:manualLayout>
      </c:layout>
      <c:barChart>
        <c:barDir val="col"/>
        <c:grouping val="clustered"/>
        <c:varyColors val="0"/>
        <c:ser>
          <c:idx val="0"/>
          <c:order val="0"/>
          <c:tx>
            <c:strRef>
              <c:f>PP!$M$49</c:f>
              <c:strCache>
                <c:ptCount val="1"/>
                <c:pt idx="0">
                  <c:v>Mds $</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PP!$L$50:$L$75</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PP!$M$50:$M$75</c:f>
              <c:numCache>
                <c:formatCode>0.00</c:formatCode>
                <c:ptCount val="26"/>
                <c:pt idx="0">
                  <c:v>19.8</c:v>
                </c:pt>
                <c:pt idx="1">
                  <c:v>22.8</c:v>
                </c:pt>
                <c:pt idx="2">
                  <c:v>25.6</c:v>
                </c:pt>
                <c:pt idx="3">
                  <c:v>29.7</c:v>
                </c:pt>
                <c:pt idx="4">
                  <c:v>31.6</c:v>
                </c:pt>
                <c:pt idx="5">
                  <c:v>30</c:v>
                </c:pt>
                <c:pt idx="6">
                  <c:v>27.2</c:v>
                </c:pt>
                <c:pt idx="7">
                  <c:v>31</c:v>
                </c:pt>
                <c:pt idx="8">
                  <c:v>34.299999999999997</c:v>
                </c:pt>
                <c:pt idx="9">
                  <c:v>38.9</c:v>
                </c:pt>
                <c:pt idx="10">
                  <c:v>44.2</c:v>
                </c:pt>
                <c:pt idx="11">
                  <c:v>46.1</c:v>
                </c:pt>
                <c:pt idx="12">
                  <c:v>33.799999999999997</c:v>
                </c:pt>
                <c:pt idx="13">
                  <c:v>37.200000000000003</c:v>
                </c:pt>
                <c:pt idx="14">
                  <c:v>41.3</c:v>
                </c:pt>
                <c:pt idx="15">
                  <c:v>42</c:v>
                </c:pt>
                <c:pt idx="16">
                  <c:v>45.1</c:v>
                </c:pt>
                <c:pt idx="17">
                  <c:v>50.4</c:v>
                </c:pt>
                <c:pt idx="18">
                  <c:v>55.7</c:v>
                </c:pt>
                <c:pt idx="19">
                  <c:v>59.9</c:v>
                </c:pt>
                <c:pt idx="20">
                  <c:v>63.6</c:v>
                </c:pt>
                <c:pt idx="21">
                  <c:v>68.5</c:v>
                </c:pt>
                <c:pt idx="22">
                  <c:v>70.400000000000006</c:v>
                </c:pt>
                <c:pt idx="23">
                  <c:v>76.8</c:v>
                </c:pt>
                <c:pt idx="24">
                  <c:v>82.05</c:v>
                </c:pt>
                <c:pt idx="25">
                  <c:v>91.5</c:v>
                </c:pt>
              </c:numCache>
            </c:numRef>
          </c:val>
          <c:extLst>
            <c:ext xmlns:c16="http://schemas.microsoft.com/office/drawing/2014/chart" uri="{C3380CC4-5D6E-409C-BE32-E72D297353CC}">
              <c16:uniqueId val="{00000000-0D4B-449F-868D-DA98EE842BC5}"/>
            </c:ext>
          </c:extLst>
        </c:ser>
        <c:dLbls>
          <c:showLegendKey val="0"/>
          <c:showVal val="0"/>
          <c:showCatName val="0"/>
          <c:showSerName val="0"/>
          <c:showPercent val="0"/>
          <c:showBubbleSize val="0"/>
        </c:dLbls>
        <c:gapWidth val="219"/>
        <c:overlap val="-27"/>
        <c:axId val="734664816"/>
        <c:axId val="734672688"/>
      </c:barChart>
      <c:catAx>
        <c:axId val="734664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72688"/>
        <c:crosses val="autoZero"/>
        <c:auto val="1"/>
        <c:lblAlgn val="ctr"/>
        <c:lblOffset val="100"/>
        <c:noMultiLvlLbl val="0"/>
      </c:catAx>
      <c:valAx>
        <c:axId val="734672688"/>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64816"/>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a:t>Évolution du taux de cotisation au RREGOP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8392139416610343E-2"/>
          <c:y val="0.11265190183318793"/>
          <c:w val="0.91688252124263281"/>
          <c:h val="0.8102052100478514"/>
        </c:manualLayout>
      </c:layout>
      <c:lineChart>
        <c:grouping val="standard"/>
        <c:varyColors val="0"/>
        <c:ser>
          <c:idx val="0"/>
          <c:order val="0"/>
          <c:spPr>
            <a:ln w="31750" cap="rnd">
              <a:solidFill>
                <a:schemeClr val="accent6">
                  <a:lumMod val="75000"/>
                </a:schemeClr>
              </a:solidFill>
              <a:round/>
            </a:ln>
            <a:effectLst/>
          </c:spPr>
          <c:marker>
            <c:symbol val="none"/>
          </c:marker>
          <c:cat>
            <c:numLit>
              <c:formatCode>General</c:formatCode>
              <c:ptCount val="50"/>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pt idx="43">
                <c:v>2016</c:v>
              </c:pt>
              <c:pt idx="44">
                <c:v>2017</c:v>
              </c:pt>
              <c:pt idx="45">
                <c:v>2018</c:v>
              </c:pt>
              <c:pt idx="46">
                <c:v>2019</c:v>
              </c:pt>
              <c:pt idx="47">
                <c:v>2020</c:v>
              </c:pt>
              <c:pt idx="48">
                <c:v>2021</c:v>
              </c:pt>
              <c:pt idx="49">
                <c:v>2022</c:v>
              </c:pt>
            </c:numLit>
          </c:cat>
          <c:val>
            <c:numLit>
              <c:formatCode>General</c:formatCode>
              <c:ptCount val="50"/>
              <c:pt idx="0">
                <c:v>7.4999999999999997E-2</c:v>
              </c:pt>
              <c:pt idx="1">
                <c:v>7.4999999999999997E-2</c:v>
              </c:pt>
              <c:pt idx="2">
                <c:v>7.4999999999999997E-2</c:v>
              </c:pt>
              <c:pt idx="3">
                <c:v>7.4999999999999997E-2</c:v>
              </c:pt>
              <c:pt idx="4">
                <c:v>7.4999999999999997E-2</c:v>
              </c:pt>
              <c:pt idx="5">
                <c:v>7.4999999999999997E-2</c:v>
              </c:pt>
              <c:pt idx="6">
                <c:v>7.4999999999999997E-2</c:v>
              </c:pt>
              <c:pt idx="7">
                <c:v>7.4999999999999997E-2</c:v>
              </c:pt>
              <c:pt idx="8">
                <c:v>7.4999999999999997E-2</c:v>
              </c:pt>
              <c:pt idx="9">
                <c:v>7.4999999999999997E-2</c:v>
              </c:pt>
              <c:pt idx="10">
                <c:v>7.0999999999999994E-2</c:v>
              </c:pt>
              <c:pt idx="11">
                <c:v>7.0000000000000007E-2</c:v>
              </c:pt>
              <c:pt idx="12">
                <c:v>7.0000000000000007E-2</c:v>
              </c:pt>
              <c:pt idx="13">
                <c:v>7.0000000000000007E-2</c:v>
              </c:pt>
              <c:pt idx="14">
                <c:v>7.0000000000000007E-2</c:v>
              </c:pt>
              <c:pt idx="15">
                <c:v>7.0000000000000007E-2</c:v>
              </c:pt>
              <c:pt idx="16">
                <c:v>7.0000000000000007E-2</c:v>
              </c:pt>
              <c:pt idx="17">
                <c:v>7.0000000000000007E-2</c:v>
              </c:pt>
              <c:pt idx="18">
                <c:v>7.0000000000000007E-2</c:v>
              </c:pt>
              <c:pt idx="19">
                <c:v>7.0000000000000007E-2</c:v>
              </c:pt>
              <c:pt idx="20">
                <c:v>7.6799999999999993E-2</c:v>
              </c:pt>
              <c:pt idx="21">
                <c:v>7.6799999999999993E-2</c:v>
              </c:pt>
              <c:pt idx="22">
                <c:v>7.6799999999999993E-2</c:v>
              </c:pt>
              <c:pt idx="23">
                <c:v>7.9500000000000001E-2</c:v>
              </c:pt>
              <c:pt idx="24">
                <c:v>7.9500000000000001E-2</c:v>
              </c:pt>
              <c:pt idx="25">
                <c:v>7.9500000000000001E-2</c:v>
              </c:pt>
              <c:pt idx="26">
                <c:v>7.9500000000000001E-2</c:v>
              </c:pt>
              <c:pt idx="27">
                <c:v>5.3499999999999999E-2</c:v>
              </c:pt>
              <c:pt idx="28">
                <c:v>5.3499999999999999E-2</c:v>
              </c:pt>
              <c:pt idx="29">
                <c:v>5.3499999999999999E-2</c:v>
              </c:pt>
              <c:pt idx="30">
                <c:v>5.3499999999999999E-2</c:v>
              </c:pt>
              <c:pt idx="31">
                <c:v>5.3499999999999999E-2</c:v>
              </c:pt>
              <c:pt idx="32">
                <c:v>7.0599999999999996E-2</c:v>
              </c:pt>
              <c:pt idx="33">
                <c:v>7.0599999999999996E-2</c:v>
              </c:pt>
              <c:pt idx="34">
                <c:v>7.0599999999999996E-2</c:v>
              </c:pt>
              <c:pt idx="35">
                <c:v>8.1900000000000001E-2</c:v>
              </c:pt>
              <c:pt idx="36">
                <c:v>8.1900000000000001E-2</c:v>
              </c:pt>
              <c:pt idx="37">
                <c:v>8.1900000000000001E-2</c:v>
              </c:pt>
              <c:pt idx="38">
                <c:v>8.6899999999999991E-2</c:v>
              </c:pt>
              <c:pt idx="39">
                <c:v>8.9399999999999993E-2</c:v>
              </c:pt>
              <c:pt idx="40">
                <c:v>9.1799999999999993E-2</c:v>
              </c:pt>
              <c:pt idx="41">
                <c:v>9.8400000000000001E-2</c:v>
              </c:pt>
              <c:pt idx="42">
                <c:v>0.105</c:v>
              </c:pt>
              <c:pt idx="43">
                <c:v>0.11119999999999999</c:v>
              </c:pt>
              <c:pt idx="44">
                <c:v>0.1105</c:v>
              </c:pt>
              <c:pt idx="45">
                <c:v>0.10970000000000001</c:v>
              </c:pt>
              <c:pt idx="46">
                <c:v>0.10879999999999999</c:v>
              </c:pt>
              <c:pt idx="47">
                <c:v>0.10630000000000001</c:v>
              </c:pt>
              <c:pt idx="48">
                <c:v>0.1033</c:v>
              </c:pt>
              <c:pt idx="49">
                <c:v>0.10039999999999999</c:v>
              </c:pt>
            </c:numLit>
          </c:val>
          <c:smooth val="0"/>
          <c:extLst>
            <c:ext xmlns:c16="http://schemas.microsoft.com/office/drawing/2014/chart" uri="{C3380CC4-5D6E-409C-BE32-E72D297353CC}">
              <c16:uniqueId val="{00000000-49C4-416B-B5C2-E592D76836AE}"/>
            </c:ext>
          </c:extLst>
        </c:ser>
        <c:dLbls>
          <c:showLegendKey val="0"/>
          <c:showVal val="0"/>
          <c:showCatName val="0"/>
          <c:showSerName val="0"/>
          <c:showPercent val="0"/>
          <c:showBubbleSize val="0"/>
        </c:dLbls>
        <c:smooth val="0"/>
        <c:axId val="772141144"/>
        <c:axId val="772140816"/>
      </c:lineChart>
      <c:catAx>
        <c:axId val="77214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0816"/>
        <c:crosses val="autoZero"/>
        <c:auto val="1"/>
        <c:lblAlgn val="ctr"/>
        <c:lblOffset val="100"/>
        <c:noMultiLvlLbl val="0"/>
      </c:catAx>
      <c:valAx>
        <c:axId val="772140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1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a:t>Évolution du taux de cotisation au RRPE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31750" cap="rnd">
              <a:solidFill>
                <a:srgbClr val="FF0000"/>
              </a:solidFill>
              <a:round/>
            </a:ln>
            <a:effectLst/>
          </c:spPr>
          <c:marker>
            <c:symbol val="none"/>
          </c:marker>
          <c:cat>
            <c:numLit>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Lit>
          </c:cat>
          <c:val>
            <c:numLit>
              <c:formatCode>General</c:formatCode>
              <c:ptCount val="24"/>
              <c:pt idx="0">
                <c:v>6.3500000000000001E-2</c:v>
              </c:pt>
              <c:pt idx="1">
                <c:v>6.3500000000000001E-2</c:v>
              </c:pt>
              <c:pt idx="2">
                <c:v>6.3500000000000001E-2</c:v>
              </c:pt>
              <c:pt idx="3">
                <c:v>0.01</c:v>
              </c:pt>
              <c:pt idx="4">
                <c:v>0.01</c:v>
              </c:pt>
              <c:pt idx="5">
                <c:v>4.4999999999999998E-2</c:v>
              </c:pt>
              <c:pt idx="6">
                <c:v>4.4999999999999998E-2</c:v>
              </c:pt>
              <c:pt idx="7">
                <c:v>4.4999999999999998E-2</c:v>
              </c:pt>
              <c:pt idx="8">
                <c:v>7.7800000000000008E-2</c:v>
              </c:pt>
              <c:pt idx="9">
                <c:v>7.7800000000000008E-2</c:v>
              </c:pt>
              <c:pt idx="10">
                <c:v>7.7800000000000008E-2</c:v>
              </c:pt>
              <c:pt idx="11">
                <c:v>0.10539999999999999</c:v>
              </c:pt>
              <c:pt idx="12">
                <c:v>0.10539999999999999</c:v>
              </c:pt>
              <c:pt idx="13">
                <c:v>0.10539999999999999</c:v>
              </c:pt>
              <c:pt idx="14">
                <c:v>0.11539999999999999</c:v>
              </c:pt>
              <c:pt idx="15">
                <c:v>0.12300000000000001</c:v>
              </c:pt>
              <c:pt idx="16">
                <c:v>0.12300000000000001</c:v>
              </c:pt>
              <c:pt idx="17">
                <c:v>0.14380000000000001</c:v>
              </c:pt>
              <c:pt idx="18">
                <c:v>0.14380000000000001</c:v>
              </c:pt>
              <c:pt idx="19">
                <c:v>0.14380000000000001</c:v>
              </c:pt>
              <c:pt idx="20">
                <c:v>0.15029999999999999</c:v>
              </c:pt>
              <c:pt idx="21">
                <c:v>0.12820000000000001</c:v>
              </c:pt>
              <c:pt idx="22">
                <c:v>0.12820000000000001</c:v>
              </c:pt>
              <c:pt idx="23">
                <c:v>0.1229</c:v>
              </c:pt>
            </c:numLit>
          </c:val>
          <c:smooth val="0"/>
          <c:extLst>
            <c:ext xmlns:c16="http://schemas.microsoft.com/office/drawing/2014/chart" uri="{C3380CC4-5D6E-409C-BE32-E72D297353CC}">
              <c16:uniqueId val="{00000000-94D2-4D47-AA91-C382C8A8F928}"/>
            </c:ext>
          </c:extLst>
        </c:ser>
        <c:dLbls>
          <c:showLegendKey val="0"/>
          <c:showVal val="0"/>
          <c:showCatName val="0"/>
          <c:showSerName val="0"/>
          <c:showPercent val="0"/>
          <c:showBubbleSize val="0"/>
        </c:dLbls>
        <c:smooth val="0"/>
        <c:axId val="772141144"/>
        <c:axId val="772140816"/>
      </c:lineChart>
      <c:catAx>
        <c:axId val="77214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0816"/>
        <c:crosses val="autoZero"/>
        <c:auto val="1"/>
        <c:lblAlgn val="ctr"/>
        <c:lblOffset val="100"/>
        <c:noMultiLvlLbl val="0"/>
      </c:catAx>
      <c:valAx>
        <c:axId val="772140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72141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0858040893038"/>
          <c:y val="0.13065604427365476"/>
          <c:w val="0.8803305142412754"/>
          <c:h val="0.77705595285051043"/>
        </c:manualLayout>
      </c:layout>
      <c:barChart>
        <c:barDir val="col"/>
        <c:grouping val="clustered"/>
        <c:varyColors val="0"/>
        <c:ser>
          <c:idx val="0"/>
          <c:order val="0"/>
          <c:tx>
            <c:v>Mds $</c:v>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Lit>
          </c:cat>
          <c:val>
            <c:numLit>
              <c:formatCode>General</c:formatCode>
              <c:ptCount val="25"/>
              <c:pt idx="0">
                <c:v>19.8</c:v>
              </c:pt>
              <c:pt idx="1">
                <c:v>22.8</c:v>
              </c:pt>
              <c:pt idx="2">
                <c:v>25.6</c:v>
              </c:pt>
              <c:pt idx="3">
                <c:v>29.7</c:v>
              </c:pt>
              <c:pt idx="4">
                <c:v>31.6</c:v>
              </c:pt>
              <c:pt idx="5">
                <c:v>30</c:v>
              </c:pt>
              <c:pt idx="6">
                <c:v>27.2</c:v>
              </c:pt>
              <c:pt idx="7">
                <c:v>31</c:v>
              </c:pt>
              <c:pt idx="8">
                <c:v>34.299999999999997</c:v>
              </c:pt>
              <c:pt idx="9">
                <c:v>38.9</c:v>
              </c:pt>
              <c:pt idx="10">
                <c:v>44.2</c:v>
              </c:pt>
              <c:pt idx="11">
                <c:v>46.1</c:v>
              </c:pt>
              <c:pt idx="12">
                <c:v>33.799999999999997</c:v>
              </c:pt>
              <c:pt idx="13">
                <c:v>37.200000000000003</c:v>
              </c:pt>
              <c:pt idx="14">
                <c:v>41.3</c:v>
              </c:pt>
              <c:pt idx="15">
                <c:v>42</c:v>
              </c:pt>
              <c:pt idx="16">
                <c:v>45.1</c:v>
              </c:pt>
              <c:pt idx="17">
                <c:v>50.4</c:v>
              </c:pt>
              <c:pt idx="18">
                <c:v>55.7</c:v>
              </c:pt>
              <c:pt idx="19">
                <c:v>59.9</c:v>
              </c:pt>
              <c:pt idx="20">
                <c:v>63.6</c:v>
              </c:pt>
              <c:pt idx="21">
                <c:v>68.5</c:v>
              </c:pt>
              <c:pt idx="22">
                <c:v>70.400000000000006</c:v>
              </c:pt>
              <c:pt idx="23">
                <c:v>76.25</c:v>
              </c:pt>
              <c:pt idx="24">
                <c:v>81.84</c:v>
              </c:pt>
            </c:numLit>
          </c:val>
          <c:extLst>
            <c:ext xmlns:c16="http://schemas.microsoft.com/office/drawing/2014/chart" uri="{C3380CC4-5D6E-409C-BE32-E72D297353CC}">
              <c16:uniqueId val="{00000000-2269-4BBF-BEB9-D24CE533D4A2}"/>
            </c:ext>
          </c:extLst>
        </c:ser>
        <c:dLbls>
          <c:showLegendKey val="0"/>
          <c:showVal val="0"/>
          <c:showCatName val="0"/>
          <c:showSerName val="0"/>
          <c:showPercent val="0"/>
          <c:showBubbleSize val="0"/>
        </c:dLbls>
        <c:gapWidth val="219"/>
        <c:overlap val="-27"/>
        <c:axId val="734664816"/>
        <c:axId val="734672688"/>
      </c:barChart>
      <c:catAx>
        <c:axId val="734664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72688"/>
        <c:crosses val="autoZero"/>
        <c:auto val="1"/>
        <c:lblAlgn val="ctr"/>
        <c:lblOffset val="100"/>
        <c:noMultiLvlLbl val="0"/>
      </c:catAx>
      <c:valAx>
        <c:axId val="734672688"/>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64816"/>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0858040893038"/>
          <c:y val="0.13065604427365476"/>
          <c:w val="0.8803305142412754"/>
          <c:h val="0.77705595285051043"/>
        </c:manualLayout>
      </c:layout>
      <c:barChart>
        <c:barDir val="col"/>
        <c:grouping val="clustered"/>
        <c:varyColors val="0"/>
        <c:ser>
          <c:idx val="0"/>
          <c:order val="0"/>
          <c:tx>
            <c:v>Mds $</c:v>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Lit>
          </c:cat>
          <c:val>
            <c:numLit>
              <c:formatCode>General</c:formatCode>
              <c:ptCount val="25"/>
              <c:pt idx="0">
                <c:v>19.8</c:v>
              </c:pt>
              <c:pt idx="1">
                <c:v>22.8</c:v>
              </c:pt>
              <c:pt idx="2">
                <c:v>25.6</c:v>
              </c:pt>
              <c:pt idx="3">
                <c:v>29.7</c:v>
              </c:pt>
              <c:pt idx="4">
                <c:v>31.6</c:v>
              </c:pt>
              <c:pt idx="5">
                <c:v>30</c:v>
              </c:pt>
              <c:pt idx="6">
                <c:v>27.2</c:v>
              </c:pt>
              <c:pt idx="7">
                <c:v>31</c:v>
              </c:pt>
              <c:pt idx="8">
                <c:v>34.299999999999997</c:v>
              </c:pt>
              <c:pt idx="9">
                <c:v>38.9</c:v>
              </c:pt>
              <c:pt idx="10">
                <c:v>44.2</c:v>
              </c:pt>
              <c:pt idx="11">
                <c:v>46.1</c:v>
              </c:pt>
              <c:pt idx="12">
                <c:v>33.799999999999997</c:v>
              </c:pt>
              <c:pt idx="13">
                <c:v>37.200000000000003</c:v>
              </c:pt>
              <c:pt idx="14">
                <c:v>41.3</c:v>
              </c:pt>
              <c:pt idx="15">
                <c:v>42</c:v>
              </c:pt>
              <c:pt idx="16">
                <c:v>45.1</c:v>
              </c:pt>
              <c:pt idx="17">
                <c:v>50.4</c:v>
              </c:pt>
              <c:pt idx="18">
                <c:v>55.7</c:v>
              </c:pt>
              <c:pt idx="19">
                <c:v>59.9</c:v>
              </c:pt>
              <c:pt idx="20">
                <c:v>63.6</c:v>
              </c:pt>
              <c:pt idx="21">
                <c:v>68.5</c:v>
              </c:pt>
              <c:pt idx="22">
                <c:v>70.400000000000006</c:v>
              </c:pt>
              <c:pt idx="23">
                <c:v>76.25</c:v>
              </c:pt>
              <c:pt idx="24">
                <c:v>81.84</c:v>
              </c:pt>
            </c:numLit>
          </c:val>
          <c:extLst>
            <c:ext xmlns:c16="http://schemas.microsoft.com/office/drawing/2014/chart" uri="{C3380CC4-5D6E-409C-BE32-E72D297353CC}">
              <c16:uniqueId val="{00000000-C9E1-43FC-823E-6D46ABDC4537}"/>
            </c:ext>
          </c:extLst>
        </c:ser>
        <c:dLbls>
          <c:showLegendKey val="0"/>
          <c:showVal val="0"/>
          <c:showCatName val="0"/>
          <c:showSerName val="0"/>
          <c:showPercent val="0"/>
          <c:showBubbleSize val="0"/>
        </c:dLbls>
        <c:gapWidth val="219"/>
        <c:overlap val="-27"/>
        <c:axId val="734664816"/>
        <c:axId val="734672688"/>
      </c:barChart>
      <c:catAx>
        <c:axId val="734664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72688"/>
        <c:crosses val="autoZero"/>
        <c:auto val="1"/>
        <c:lblAlgn val="ctr"/>
        <c:lblOffset val="100"/>
        <c:noMultiLvlLbl val="0"/>
      </c:catAx>
      <c:valAx>
        <c:axId val="734672688"/>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664816"/>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anada.ca/fr/services/prestations/pensionspubliques/rpc/securite-vieillesse/impot-recuperation.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3.emf"/><Relationship Id="rId5" Type="http://schemas.openxmlformats.org/officeDocument/2006/relationships/image" Target="../media/image2.emf"/><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151280</xdr:colOff>
      <xdr:row>1</xdr:row>
      <xdr:rowOff>324973</xdr:rowOff>
    </xdr:from>
    <xdr:to>
      <xdr:col>2</xdr:col>
      <xdr:colOff>2610708</xdr:colOff>
      <xdr:row>1</xdr:row>
      <xdr:rowOff>1893795</xdr:rowOff>
    </xdr:to>
    <xdr:pic>
      <xdr:nvPicPr>
        <xdr:cNvPr id="3" name="Image 2" descr="FNEEQ">
          <a:extLst>
            <a:ext uri="{FF2B5EF4-FFF2-40B4-BE49-F238E27FC236}">
              <a16:creationId xmlns:a16="http://schemas.microsoft.com/office/drawing/2014/main" id="{BA26E5D1-8C4B-C1DD-4E79-7EED93F2A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721" y="509871"/>
          <a:ext cx="2454666" cy="1568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0.01971</cdr:x>
      <cdr:y>0.13475</cdr:y>
    </cdr:from>
    <cdr:to>
      <cdr:x>0.05579</cdr:x>
      <cdr:y>0.34428</cdr:y>
    </cdr:to>
    <cdr:sp macro="" textlink="">
      <cdr:nvSpPr>
        <cdr:cNvPr id="2" name="ZoneTexte 1">
          <a:extLst xmlns:a="http://schemas.openxmlformats.org/drawingml/2006/main">
            <a:ext uri="{FF2B5EF4-FFF2-40B4-BE49-F238E27FC236}">
              <a16:creationId xmlns:a16="http://schemas.microsoft.com/office/drawing/2014/main" id="{A941712C-7028-4231-81FE-CEB53F19D2C1}"/>
            </a:ext>
          </a:extLst>
        </cdr:cNvPr>
        <cdr:cNvSpPr txBox="1"/>
      </cdr:nvSpPr>
      <cdr:spPr>
        <a:xfrm xmlns:a="http://schemas.openxmlformats.org/drawingml/2006/main" rot="16200000">
          <a:off x="-85764" y="824987"/>
          <a:ext cx="867132" cy="3324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 billions</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15</xdr:col>
      <xdr:colOff>580838</xdr:colOff>
      <xdr:row>42</xdr:row>
      <xdr:rowOff>46189</xdr:rowOff>
    </xdr:from>
    <xdr:to>
      <xdr:col>19</xdr:col>
      <xdr:colOff>227239</xdr:colOff>
      <xdr:row>50</xdr:row>
      <xdr:rowOff>115983</xdr:rowOff>
    </xdr:to>
    <xdr:pic>
      <xdr:nvPicPr>
        <xdr:cNvPr id="2" name="Image 1" descr="FNEEQ">
          <a:extLst>
            <a:ext uri="{FF2B5EF4-FFF2-40B4-BE49-F238E27FC236}">
              <a16:creationId xmlns:a16="http://schemas.microsoft.com/office/drawing/2014/main" id="{A73A93FB-979F-4405-3C32-912AAB891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28388" y="8599639"/>
          <a:ext cx="2796000" cy="1796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51632</xdr:colOff>
      <xdr:row>3</xdr:row>
      <xdr:rowOff>1057</xdr:rowOff>
    </xdr:from>
    <xdr:to>
      <xdr:col>18</xdr:col>
      <xdr:colOff>358589</xdr:colOff>
      <xdr:row>10</xdr:row>
      <xdr:rowOff>33618</xdr:rowOff>
    </xdr:to>
    <xdr:sp macro="" textlink="">
      <xdr:nvSpPr>
        <xdr:cNvPr id="3" name="Rectangle 2">
          <a:extLst>
            <a:ext uri="{FF2B5EF4-FFF2-40B4-BE49-F238E27FC236}">
              <a16:creationId xmlns:a16="http://schemas.microsoft.com/office/drawing/2014/main" id="{31075B4B-B287-0807-F533-19F539CF6243}"/>
            </a:ext>
          </a:extLst>
        </xdr:cNvPr>
        <xdr:cNvSpPr/>
      </xdr:nvSpPr>
      <xdr:spPr>
        <a:xfrm>
          <a:off x="8153485" y="785469"/>
          <a:ext cx="5775428" cy="1422090"/>
        </a:xfrm>
        <a:prstGeom prst="rect">
          <a:avLst/>
        </a:prstGeom>
        <a:solidFill>
          <a:schemeClr val="accent1">
            <a:lumMod val="20000"/>
            <a:lumOff val="80000"/>
          </a:schemeClr>
        </a:solidFill>
        <a:ln w="28575">
          <a:solidFill>
            <a:schemeClr val="accent1">
              <a:lumMod val="50000"/>
            </a:schemeClr>
          </a:solidFill>
          <a:prstDash val="dash"/>
          <a:extLst>
            <a:ext uri="{C807C97D-BFC1-408E-A445-0C87EB9F89A2}">
              <ask:lineSketchStyleProps xmlns:ask="http://schemas.microsoft.com/office/drawing/2018/sketchyshapes" sd="205592539">
                <a:custGeom>
                  <a:avLst/>
                  <a:gdLst>
                    <a:gd name="connsiteX0" fmla="*/ 0 w 6029118"/>
                    <a:gd name="connsiteY0" fmla="*/ 0 h 1152111"/>
                    <a:gd name="connsiteX1" fmla="*/ 549320 w 6029118"/>
                    <a:gd name="connsiteY1" fmla="*/ 0 h 1152111"/>
                    <a:gd name="connsiteX2" fmla="*/ 1219222 w 6029118"/>
                    <a:gd name="connsiteY2" fmla="*/ 0 h 1152111"/>
                    <a:gd name="connsiteX3" fmla="*/ 2009706 w 6029118"/>
                    <a:gd name="connsiteY3" fmla="*/ 0 h 1152111"/>
                    <a:gd name="connsiteX4" fmla="*/ 2619317 w 6029118"/>
                    <a:gd name="connsiteY4" fmla="*/ 0 h 1152111"/>
                    <a:gd name="connsiteX5" fmla="*/ 3289219 w 6029118"/>
                    <a:gd name="connsiteY5" fmla="*/ 0 h 1152111"/>
                    <a:gd name="connsiteX6" fmla="*/ 3838538 w 6029118"/>
                    <a:gd name="connsiteY6" fmla="*/ 0 h 1152111"/>
                    <a:gd name="connsiteX7" fmla="*/ 4448149 w 6029118"/>
                    <a:gd name="connsiteY7" fmla="*/ 0 h 1152111"/>
                    <a:gd name="connsiteX8" fmla="*/ 4937178 w 6029118"/>
                    <a:gd name="connsiteY8" fmla="*/ 0 h 1152111"/>
                    <a:gd name="connsiteX9" fmla="*/ 6029118 w 6029118"/>
                    <a:gd name="connsiteY9" fmla="*/ 0 h 1152111"/>
                    <a:gd name="connsiteX10" fmla="*/ 6029118 w 6029118"/>
                    <a:gd name="connsiteY10" fmla="*/ 576056 h 1152111"/>
                    <a:gd name="connsiteX11" fmla="*/ 6029118 w 6029118"/>
                    <a:gd name="connsiteY11" fmla="*/ 1152111 h 1152111"/>
                    <a:gd name="connsiteX12" fmla="*/ 5298925 w 6029118"/>
                    <a:gd name="connsiteY12" fmla="*/ 1152111 h 1152111"/>
                    <a:gd name="connsiteX13" fmla="*/ 4809896 w 6029118"/>
                    <a:gd name="connsiteY13" fmla="*/ 1152111 h 1152111"/>
                    <a:gd name="connsiteX14" fmla="*/ 4200286 w 6029118"/>
                    <a:gd name="connsiteY14" fmla="*/ 1152111 h 1152111"/>
                    <a:gd name="connsiteX15" fmla="*/ 3650966 w 6029118"/>
                    <a:gd name="connsiteY15" fmla="*/ 1152111 h 1152111"/>
                    <a:gd name="connsiteX16" fmla="*/ 2981064 w 6029118"/>
                    <a:gd name="connsiteY16" fmla="*/ 1152111 h 1152111"/>
                    <a:gd name="connsiteX17" fmla="*/ 2311162 w 6029118"/>
                    <a:gd name="connsiteY17" fmla="*/ 1152111 h 1152111"/>
                    <a:gd name="connsiteX18" fmla="*/ 1761842 w 6029118"/>
                    <a:gd name="connsiteY18" fmla="*/ 1152111 h 1152111"/>
                    <a:gd name="connsiteX19" fmla="*/ 971358 w 6029118"/>
                    <a:gd name="connsiteY19" fmla="*/ 1152111 h 1152111"/>
                    <a:gd name="connsiteX20" fmla="*/ 0 w 6029118"/>
                    <a:gd name="connsiteY20" fmla="*/ 1152111 h 1152111"/>
                    <a:gd name="connsiteX21" fmla="*/ 0 w 6029118"/>
                    <a:gd name="connsiteY21" fmla="*/ 599098 h 1152111"/>
                    <a:gd name="connsiteX22" fmla="*/ 0 w 6029118"/>
                    <a:gd name="connsiteY22" fmla="*/ 0 h 11521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029118" h="1152111" fill="none" extrusionOk="0">
                      <a:moveTo>
                        <a:pt x="0" y="0"/>
                      </a:moveTo>
                      <a:cubicBezTo>
                        <a:pt x="262716" y="-18150"/>
                        <a:pt x="302799" y="-4389"/>
                        <a:pt x="549320" y="0"/>
                      </a:cubicBezTo>
                      <a:cubicBezTo>
                        <a:pt x="795841" y="4389"/>
                        <a:pt x="972098" y="28964"/>
                        <a:pt x="1219222" y="0"/>
                      </a:cubicBezTo>
                      <a:cubicBezTo>
                        <a:pt x="1466346" y="-28964"/>
                        <a:pt x="1793139" y="-19672"/>
                        <a:pt x="2009706" y="0"/>
                      </a:cubicBezTo>
                      <a:cubicBezTo>
                        <a:pt x="2226273" y="19672"/>
                        <a:pt x="2471848" y="23831"/>
                        <a:pt x="2619317" y="0"/>
                      </a:cubicBezTo>
                      <a:cubicBezTo>
                        <a:pt x="2766786" y="-23831"/>
                        <a:pt x="3033491" y="-28382"/>
                        <a:pt x="3289219" y="0"/>
                      </a:cubicBezTo>
                      <a:cubicBezTo>
                        <a:pt x="3544947" y="28382"/>
                        <a:pt x="3706457" y="1992"/>
                        <a:pt x="3838538" y="0"/>
                      </a:cubicBezTo>
                      <a:cubicBezTo>
                        <a:pt x="3970619" y="-1992"/>
                        <a:pt x="4149297" y="-8721"/>
                        <a:pt x="4448149" y="0"/>
                      </a:cubicBezTo>
                      <a:cubicBezTo>
                        <a:pt x="4747001" y="8721"/>
                        <a:pt x="4699577" y="18859"/>
                        <a:pt x="4937178" y="0"/>
                      </a:cubicBezTo>
                      <a:cubicBezTo>
                        <a:pt x="5174779" y="-18859"/>
                        <a:pt x="5809844" y="44391"/>
                        <a:pt x="6029118" y="0"/>
                      </a:cubicBezTo>
                      <a:cubicBezTo>
                        <a:pt x="6036395" y="218760"/>
                        <a:pt x="6051409" y="308992"/>
                        <a:pt x="6029118" y="576056"/>
                      </a:cubicBezTo>
                      <a:cubicBezTo>
                        <a:pt x="6006827" y="843120"/>
                        <a:pt x="6044281" y="893220"/>
                        <a:pt x="6029118" y="1152111"/>
                      </a:cubicBezTo>
                      <a:cubicBezTo>
                        <a:pt x="5831475" y="1153759"/>
                        <a:pt x="5544367" y="1121828"/>
                        <a:pt x="5298925" y="1152111"/>
                      </a:cubicBezTo>
                      <a:cubicBezTo>
                        <a:pt x="5053483" y="1182394"/>
                        <a:pt x="4937099" y="1156715"/>
                        <a:pt x="4809896" y="1152111"/>
                      </a:cubicBezTo>
                      <a:cubicBezTo>
                        <a:pt x="4682693" y="1147507"/>
                        <a:pt x="4345847" y="1169324"/>
                        <a:pt x="4200286" y="1152111"/>
                      </a:cubicBezTo>
                      <a:cubicBezTo>
                        <a:pt x="4054725" y="1134899"/>
                        <a:pt x="3773800" y="1139473"/>
                        <a:pt x="3650966" y="1152111"/>
                      </a:cubicBezTo>
                      <a:cubicBezTo>
                        <a:pt x="3528132" y="1164749"/>
                        <a:pt x="3254782" y="1134437"/>
                        <a:pt x="2981064" y="1152111"/>
                      </a:cubicBezTo>
                      <a:cubicBezTo>
                        <a:pt x="2707346" y="1169785"/>
                        <a:pt x="2472933" y="1123649"/>
                        <a:pt x="2311162" y="1152111"/>
                      </a:cubicBezTo>
                      <a:cubicBezTo>
                        <a:pt x="2149391" y="1180573"/>
                        <a:pt x="1971052" y="1173724"/>
                        <a:pt x="1761842" y="1152111"/>
                      </a:cubicBezTo>
                      <a:cubicBezTo>
                        <a:pt x="1552632" y="1130498"/>
                        <a:pt x="1354115" y="1163078"/>
                        <a:pt x="971358" y="1152111"/>
                      </a:cubicBezTo>
                      <a:cubicBezTo>
                        <a:pt x="588601" y="1141144"/>
                        <a:pt x="473883" y="1179939"/>
                        <a:pt x="0" y="1152111"/>
                      </a:cubicBezTo>
                      <a:cubicBezTo>
                        <a:pt x="14478" y="905371"/>
                        <a:pt x="19969" y="799868"/>
                        <a:pt x="0" y="599098"/>
                      </a:cubicBezTo>
                      <a:cubicBezTo>
                        <a:pt x="-19969" y="398328"/>
                        <a:pt x="-29314" y="296317"/>
                        <a:pt x="0" y="0"/>
                      </a:cubicBezTo>
                      <a:close/>
                    </a:path>
                    <a:path w="6029118" h="1152111" stroke="0" extrusionOk="0">
                      <a:moveTo>
                        <a:pt x="0" y="0"/>
                      </a:moveTo>
                      <a:cubicBezTo>
                        <a:pt x="211468" y="15069"/>
                        <a:pt x="408806" y="571"/>
                        <a:pt x="609611" y="0"/>
                      </a:cubicBezTo>
                      <a:cubicBezTo>
                        <a:pt x="810416" y="-571"/>
                        <a:pt x="1058008" y="12717"/>
                        <a:pt x="1219222" y="0"/>
                      </a:cubicBezTo>
                      <a:cubicBezTo>
                        <a:pt x="1380436" y="-12717"/>
                        <a:pt x="1806269" y="35165"/>
                        <a:pt x="2009706" y="0"/>
                      </a:cubicBezTo>
                      <a:cubicBezTo>
                        <a:pt x="2213143" y="-35165"/>
                        <a:pt x="2428345" y="15794"/>
                        <a:pt x="2679608" y="0"/>
                      </a:cubicBezTo>
                      <a:cubicBezTo>
                        <a:pt x="2930871" y="-15794"/>
                        <a:pt x="3078257" y="-26530"/>
                        <a:pt x="3470092" y="0"/>
                      </a:cubicBezTo>
                      <a:cubicBezTo>
                        <a:pt x="3861927" y="26530"/>
                        <a:pt x="4015803" y="-16520"/>
                        <a:pt x="4200286" y="0"/>
                      </a:cubicBezTo>
                      <a:cubicBezTo>
                        <a:pt x="4384769" y="16520"/>
                        <a:pt x="4636402" y="16841"/>
                        <a:pt x="4870188" y="0"/>
                      </a:cubicBezTo>
                      <a:cubicBezTo>
                        <a:pt x="5103974" y="-16841"/>
                        <a:pt x="5753761" y="14416"/>
                        <a:pt x="6029118" y="0"/>
                      </a:cubicBezTo>
                      <a:cubicBezTo>
                        <a:pt x="6025678" y="240687"/>
                        <a:pt x="5999600" y="300689"/>
                        <a:pt x="6029118" y="599098"/>
                      </a:cubicBezTo>
                      <a:cubicBezTo>
                        <a:pt x="6058636" y="897507"/>
                        <a:pt x="6003903" y="880650"/>
                        <a:pt x="6029118" y="1152111"/>
                      </a:cubicBezTo>
                      <a:cubicBezTo>
                        <a:pt x="5803483" y="1142899"/>
                        <a:pt x="5660980" y="1164342"/>
                        <a:pt x="5540090" y="1152111"/>
                      </a:cubicBezTo>
                      <a:cubicBezTo>
                        <a:pt x="5419200" y="1139880"/>
                        <a:pt x="5091443" y="1136961"/>
                        <a:pt x="4870188" y="1152111"/>
                      </a:cubicBezTo>
                      <a:cubicBezTo>
                        <a:pt x="4648933" y="1167261"/>
                        <a:pt x="4493380" y="1181879"/>
                        <a:pt x="4139994" y="1152111"/>
                      </a:cubicBezTo>
                      <a:cubicBezTo>
                        <a:pt x="3786608" y="1122343"/>
                        <a:pt x="3655580" y="1162322"/>
                        <a:pt x="3470092" y="1152111"/>
                      </a:cubicBezTo>
                      <a:cubicBezTo>
                        <a:pt x="3284604" y="1141900"/>
                        <a:pt x="2982326" y="1178086"/>
                        <a:pt x="2800190" y="1152111"/>
                      </a:cubicBezTo>
                      <a:cubicBezTo>
                        <a:pt x="2618054" y="1126136"/>
                        <a:pt x="2492594" y="1137572"/>
                        <a:pt x="2250871" y="1152111"/>
                      </a:cubicBezTo>
                      <a:cubicBezTo>
                        <a:pt x="2009148" y="1166650"/>
                        <a:pt x="1801238" y="1165515"/>
                        <a:pt x="1641260" y="1152111"/>
                      </a:cubicBezTo>
                      <a:cubicBezTo>
                        <a:pt x="1481282" y="1138707"/>
                        <a:pt x="1074571" y="1142684"/>
                        <a:pt x="911067" y="1152111"/>
                      </a:cubicBezTo>
                      <a:cubicBezTo>
                        <a:pt x="747563" y="1161538"/>
                        <a:pt x="315953" y="1153646"/>
                        <a:pt x="0" y="1152111"/>
                      </a:cubicBezTo>
                      <a:cubicBezTo>
                        <a:pt x="-25268" y="1015054"/>
                        <a:pt x="-24113" y="827075"/>
                        <a:pt x="0" y="553013"/>
                      </a:cubicBezTo>
                      <a:cubicBezTo>
                        <a:pt x="24113" y="278951"/>
                        <a:pt x="-8315" y="159042"/>
                        <a:pt x="0" y="0"/>
                      </a:cubicBezTo>
                      <a:close/>
                    </a:path>
                  </a:pathLst>
                </a:custGeom>
                <ask:type>
                  <ask:lineSketchNone/>
                </ask:type>
              </ask:lineSketchStyleProps>
            </a:ext>
          </a:extLs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rtl="0" eaLnBrk="1" latinLnBrk="0" hangingPunct="1"/>
          <a:r>
            <a:rPr lang="fr-CA" sz="1100" b="0">
              <a:solidFill>
                <a:schemeClr val="tx1"/>
              </a:solidFill>
              <a:effectLst/>
              <a:latin typeface="+mn-lt"/>
              <a:ea typeface="+mn-ea"/>
              <a:cs typeface="+mn-cs"/>
            </a:rPr>
            <a:t>Règle pour déterminer le montant de base de la rente avant la coordination avec la rente du RRQ à 65 ans :</a:t>
          </a:r>
        </a:p>
        <a:p>
          <a:pPr rtl="0" eaLnBrk="1" latinLnBrk="0" hangingPunct="1"/>
          <a:endParaRPr lang="fr-CA" b="0">
            <a:solidFill>
              <a:schemeClr val="tx1"/>
            </a:solidFill>
            <a:effectLst/>
          </a:endParaRPr>
        </a:p>
        <a:p>
          <a:pPr algn="ctr" rtl="0" eaLnBrk="1" latinLnBrk="0" hangingPunct="1"/>
          <a:r>
            <a:rPr lang="fr-CA" sz="1600" b="1">
              <a:solidFill>
                <a:schemeClr val="tx1"/>
              </a:solidFill>
              <a:effectLst/>
              <a:latin typeface="+mn-lt"/>
              <a:ea typeface="+mn-ea"/>
              <a:cs typeface="+mn-cs"/>
            </a:rPr>
            <a:t>2 % X «</a:t>
          </a:r>
          <a:r>
            <a:rPr lang="fr-CA" sz="1600" b="1" baseline="0">
              <a:solidFill>
                <a:schemeClr val="tx1"/>
              </a:solidFill>
              <a:effectLst/>
              <a:latin typeface="+mn-lt"/>
              <a:ea typeface="+mn-ea"/>
              <a:cs typeface="+mn-cs"/>
            </a:rPr>
            <a:t> </a:t>
          </a:r>
          <a:r>
            <a:rPr lang="fr-CA" sz="1600" b="1">
              <a:solidFill>
                <a:schemeClr val="tx1"/>
              </a:solidFill>
              <a:effectLst/>
              <a:latin typeface="+mn-lt"/>
              <a:ea typeface="+mn-ea"/>
              <a:cs typeface="+mn-cs"/>
            </a:rPr>
            <a:t>nombre d'années de service pour le calcul » x SM5*</a:t>
          </a:r>
          <a:endParaRPr lang="fr-CA" sz="1600" b="1">
            <a:solidFill>
              <a:schemeClr val="tx1"/>
            </a:solidFill>
            <a:effectLst/>
          </a:endParaRPr>
        </a:p>
        <a:p>
          <a:pPr algn="l"/>
          <a:endParaRPr lang="fr-CA" sz="1100">
            <a:solidFill>
              <a:schemeClr val="tx1"/>
            </a:solidFill>
          </a:endParaRPr>
        </a:p>
        <a:p>
          <a:pPr algn="l"/>
          <a:r>
            <a:rPr lang="fr-CA" sz="1100">
              <a:solidFill>
                <a:schemeClr val="tx1"/>
              </a:solidFill>
            </a:rPr>
            <a:t>*SM5</a:t>
          </a:r>
          <a:r>
            <a:rPr lang="fr-CA" sz="1100" baseline="0">
              <a:solidFill>
                <a:schemeClr val="tx1"/>
              </a:solidFill>
            </a:rPr>
            <a:t> : Salaire admissible moyen des 5 années de service les mieux rémunérées</a:t>
          </a:r>
          <a:endParaRPr lang="fr-CA" sz="1100">
            <a:solidFill>
              <a:schemeClr val="tx1"/>
            </a:solidFill>
          </a:endParaRPr>
        </a:p>
      </xdr:txBody>
    </xdr:sp>
    <xdr:clientData/>
  </xdr:twoCellAnchor>
  <xdr:twoCellAnchor>
    <xdr:from>
      <xdr:col>11</xdr:col>
      <xdr:colOff>28575</xdr:colOff>
      <xdr:row>32</xdr:row>
      <xdr:rowOff>209550</xdr:rowOff>
    </xdr:from>
    <xdr:to>
      <xdr:col>18</xdr:col>
      <xdr:colOff>577850</xdr:colOff>
      <xdr:row>39</xdr:row>
      <xdr:rowOff>0</xdr:rowOff>
    </xdr:to>
    <xdr:sp macro="" textlink="">
      <xdr:nvSpPr>
        <xdr:cNvPr id="4" name="ZoneTexte 3">
          <a:extLst>
            <a:ext uri="{FF2B5EF4-FFF2-40B4-BE49-F238E27FC236}">
              <a16:creationId xmlns:a16="http://schemas.microsoft.com/office/drawing/2014/main" id="{EBB5A191-CEB7-5B79-7E1D-F339D43A28B5}"/>
            </a:ext>
          </a:extLst>
        </xdr:cNvPr>
        <xdr:cNvSpPr txBox="1"/>
      </xdr:nvSpPr>
      <xdr:spPr>
        <a:xfrm>
          <a:off x="9261475" y="6604000"/>
          <a:ext cx="5807075" cy="1301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CA" sz="1200" i="1">
              <a:solidFill>
                <a:schemeClr val="dk1"/>
              </a:solidFill>
              <a:effectLst/>
              <a:latin typeface="+mn-lt"/>
              <a:ea typeface="+mn-ea"/>
              <a:cs typeface="+mn-cs"/>
            </a:rPr>
            <a:t>*</a:t>
          </a:r>
          <a:r>
            <a:rPr lang="fr-CA" sz="1200" i="1" baseline="0">
              <a:solidFill>
                <a:schemeClr val="dk1"/>
              </a:solidFill>
              <a:effectLst/>
              <a:latin typeface="+mn-lt"/>
              <a:ea typeface="+mn-ea"/>
              <a:cs typeface="+mn-cs"/>
            </a:rPr>
            <a:t> </a:t>
          </a:r>
          <a:r>
            <a:rPr lang="fr-CA" sz="1200" i="1">
              <a:solidFill>
                <a:schemeClr val="dk1"/>
              </a:solidFill>
              <a:effectLst/>
              <a:latin typeface="+mn-lt"/>
              <a:ea typeface="+mn-ea"/>
              <a:cs typeface="+mn-cs"/>
            </a:rPr>
            <a:t>Les salaires admissibles ont été calculés avec quelques arrondissements et ne tiennent pas compte des périodes de paies qui peuvent différer d'un employeur à l'autre.  L'impact de ces arrondissements sur l'estimation de la rente est toutefois minime.</a:t>
          </a:r>
        </a:p>
        <a:p>
          <a:pPr marL="0" marR="0" lvl="0" indent="0" defTabSz="914400" eaLnBrk="1" fontAlgn="auto" latinLnBrk="0" hangingPunct="1">
            <a:lnSpc>
              <a:spcPct val="100000"/>
            </a:lnSpc>
            <a:spcBef>
              <a:spcPts val="0"/>
            </a:spcBef>
            <a:spcAft>
              <a:spcPts val="0"/>
            </a:spcAft>
            <a:buClrTx/>
            <a:buSzTx/>
            <a:buFontTx/>
            <a:buNone/>
            <a:tabLst/>
            <a:defRPr/>
          </a:pPr>
          <a:endParaRPr lang="fr-CA" sz="12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CA" sz="1200" i="1">
              <a:solidFill>
                <a:schemeClr val="dk1"/>
              </a:solidFill>
              <a:effectLst/>
              <a:latin typeface="+mn-lt"/>
              <a:ea typeface="+mn-ea"/>
              <a:cs typeface="+mn-cs"/>
            </a:rPr>
            <a:t>** Le service de la première année est automatiquement</a:t>
          </a:r>
          <a:r>
            <a:rPr lang="fr-CA" sz="1200" i="1" baseline="0">
              <a:solidFill>
                <a:schemeClr val="dk1"/>
              </a:solidFill>
              <a:effectLst/>
              <a:latin typeface="+mn-lt"/>
              <a:ea typeface="+mn-ea"/>
              <a:cs typeface="+mn-cs"/>
            </a:rPr>
            <a:t> </a:t>
          </a:r>
          <a:r>
            <a:rPr lang="fr-CA" sz="1200" i="1">
              <a:solidFill>
                <a:schemeClr val="dk1"/>
              </a:solidFill>
              <a:effectLst/>
              <a:latin typeface="+mn-lt"/>
              <a:ea typeface="+mn-ea"/>
              <a:cs typeface="+mn-cs"/>
            </a:rPr>
            <a:t>réduit afin que le total du service soit de 5,0000</a:t>
          </a:r>
          <a:r>
            <a:rPr lang="fr-CA" sz="1200" i="1" baseline="0">
              <a:solidFill>
                <a:schemeClr val="dk1"/>
              </a:solidFill>
              <a:effectLst/>
              <a:latin typeface="+mn-lt"/>
              <a:ea typeface="+mn-ea"/>
              <a:cs typeface="+mn-cs"/>
            </a:rPr>
            <a:t>.</a:t>
          </a:r>
          <a:endParaRPr lang="fr-CA" sz="1200" i="1">
            <a:solidFill>
              <a:schemeClr val="dk1"/>
            </a:solidFill>
            <a:effectLst/>
            <a:latin typeface="+mn-lt"/>
            <a:ea typeface="+mn-ea"/>
            <a:cs typeface="+mn-cs"/>
          </a:endParaRPr>
        </a:p>
      </xdr:txBody>
    </xdr:sp>
    <xdr:clientData/>
  </xdr:twoCellAnchor>
  <xdr:twoCellAnchor>
    <xdr:from>
      <xdr:col>9</xdr:col>
      <xdr:colOff>524435</xdr:colOff>
      <xdr:row>11</xdr:row>
      <xdr:rowOff>19051</xdr:rowOff>
    </xdr:from>
    <xdr:to>
      <xdr:col>18</xdr:col>
      <xdr:colOff>302559</xdr:colOff>
      <xdr:row>15</xdr:row>
      <xdr:rowOff>123265</xdr:rowOff>
    </xdr:to>
    <xdr:sp macro="" textlink="">
      <xdr:nvSpPr>
        <xdr:cNvPr id="6" name="ZoneTexte 5">
          <a:extLst>
            <a:ext uri="{FF2B5EF4-FFF2-40B4-BE49-F238E27FC236}">
              <a16:creationId xmlns:a16="http://schemas.microsoft.com/office/drawing/2014/main" id="{1395A9CD-8E7A-FE97-24C6-7AE47A5935EF}"/>
            </a:ext>
          </a:extLst>
        </xdr:cNvPr>
        <xdr:cNvSpPr txBox="1"/>
      </xdr:nvSpPr>
      <xdr:spPr>
        <a:xfrm>
          <a:off x="8077200" y="1968875"/>
          <a:ext cx="5739653" cy="8886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200" b="1"/>
            <a:t>Indiquez les salaires admissibles de vos 5 meilleures années dans les cases jaunes ci-dessous.  Si vous laissez ce tableau vide, ce sont les salaires de</a:t>
          </a:r>
          <a:r>
            <a:rPr lang="fr-CA" sz="1200" b="1" baseline="0"/>
            <a:t> la</a:t>
          </a:r>
          <a:r>
            <a:rPr lang="fr-CA" sz="1200" b="1"/>
            <a:t> convention collective des cégeps qui seront utilisés</a:t>
          </a:r>
          <a:r>
            <a:rPr lang="fr-CA" sz="1200" b="1" baseline="0"/>
            <a:t> (tableau « Salaires selon convention collective cégep »).</a:t>
          </a:r>
          <a:endParaRPr lang="fr-CA" sz="12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431426</xdr:colOff>
      <xdr:row>58</xdr:row>
      <xdr:rowOff>151280</xdr:rowOff>
    </xdr:from>
    <xdr:to>
      <xdr:col>18</xdr:col>
      <xdr:colOff>458880</xdr:colOff>
      <xdr:row>69</xdr:row>
      <xdr:rowOff>1438</xdr:rowOff>
    </xdr:to>
    <xdr:pic>
      <xdr:nvPicPr>
        <xdr:cNvPr id="2" name="Image 1" descr="FNEEQ">
          <a:extLst>
            <a:ext uri="{FF2B5EF4-FFF2-40B4-BE49-F238E27FC236}">
              <a16:creationId xmlns:a16="http://schemas.microsoft.com/office/drawing/2014/main" id="{61E83AAF-29E0-4869-A040-532D5CE8C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75559" y="11301133"/>
          <a:ext cx="2918572" cy="1822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152399</xdr:colOff>
      <xdr:row>38</xdr:row>
      <xdr:rowOff>66676</xdr:rowOff>
    </xdr:from>
    <xdr:to>
      <xdr:col>17</xdr:col>
      <xdr:colOff>447675</xdr:colOff>
      <xdr:row>43</xdr:row>
      <xdr:rowOff>157163</xdr:rowOff>
    </xdr:to>
    <xdr:sp macro="" textlink="">
      <xdr:nvSpPr>
        <xdr:cNvPr id="3" name="ZoneTexte 2">
          <a:extLst>
            <a:ext uri="{FF2B5EF4-FFF2-40B4-BE49-F238E27FC236}">
              <a16:creationId xmlns:a16="http://schemas.microsoft.com/office/drawing/2014/main" id="{3B8328B8-46C0-547B-6BAA-524043F82241}"/>
            </a:ext>
          </a:extLst>
        </xdr:cNvPr>
        <xdr:cNvSpPr txBox="1"/>
      </xdr:nvSpPr>
      <xdr:spPr>
        <a:xfrm>
          <a:off x="10310812" y="7658101"/>
          <a:ext cx="4105276" cy="995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ATTENTION : Cette rente ne tient compte que du « régime de base ». Depuis 2019, le « régime supplémentaire » s'ajoute.  Toutefois, pour une retraite dans les prochaines années, l'ajout</a:t>
          </a:r>
          <a:r>
            <a:rPr lang="fr-CA" sz="1100" baseline="0"/>
            <a:t> </a:t>
          </a:r>
          <a:r>
            <a:rPr lang="fr-CA" sz="1100"/>
            <a:t>sera minime, car </a:t>
          </a:r>
          <a:r>
            <a:rPr lang="fr-CA" sz="1100" baseline="0"/>
            <a:t>les pleines cotisations au « régime supplémentaire » ne se font que depuis le 1er janvier 2024.</a:t>
          </a:r>
        </a:p>
        <a:p>
          <a:endParaRPr lang="fr-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700088</xdr:colOff>
      <xdr:row>17</xdr:row>
      <xdr:rowOff>2</xdr:rowOff>
    </xdr:from>
    <xdr:to>
      <xdr:col>8</xdr:col>
      <xdr:colOff>704850</xdr:colOff>
      <xdr:row>21</xdr:row>
      <xdr:rowOff>114301</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1A33E2EA-ECD5-F44D-1AF3-3D6601D79505}"/>
            </a:ext>
          </a:extLst>
        </xdr:cNvPr>
        <xdr:cNvSpPr txBox="1"/>
      </xdr:nvSpPr>
      <xdr:spPr>
        <a:xfrm>
          <a:off x="1462088" y="3071815"/>
          <a:ext cx="6057900" cy="838199"/>
        </a:xfrm>
        <a:prstGeom prst="rect">
          <a:avLst/>
        </a:prstGeom>
        <a:solidFill>
          <a:schemeClr val="accent1">
            <a:lumMod val="20000"/>
            <a:lumOff val="80000"/>
          </a:schemeClr>
        </a:solidFill>
        <a:ln w="28575" cmpd="sng">
          <a:solidFill>
            <a:schemeClr val="accent1">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i="0" u="none" strike="noStrike">
              <a:solidFill>
                <a:schemeClr val="dk1"/>
              </a:solidFill>
              <a:effectLst/>
              <a:latin typeface="+mn-lt"/>
              <a:ea typeface="+mn-ea"/>
              <a:cs typeface="+mn-cs"/>
            </a:rPr>
            <a:t>ATTENTION</a:t>
          </a:r>
        </a:p>
        <a:p>
          <a:r>
            <a:rPr lang="fr-CA" sz="1100" b="0" i="0" u="none" strike="noStrike">
              <a:solidFill>
                <a:schemeClr val="dk1"/>
              </a:solidFill>
              <a:effectLst/>
              <a:latin typeface="+mn-lt"/>
              <a:ea typeface="+mn-ea"/>
              <a:cs typeface="+mn-cs"/>
            </a:rPr>
            <a:t>Vous devrez rembourser une partie de la PSV si votre revenu annuel net est atteint un certain seuil.  Par exemple, pour juillet 2025 à juin 2026, votre revenu de 2024 doit être inférieur à 90 997 $ pour éviter d'être assujetti à un impôt de récupération.  </a:t>
          </a:r>
          <a:r>
            <a:rPr lang="fr-CA" sz="1100" b="0" i="0" u="sng" strike="noStrike">
              <a:solidFill>
                <a:schemeClr val="dk1"/>
              </a:solidFill>
              <a:effectLst/>
              <a:latin typeface="+mn-lt"/>
              <a:ea typeface="+mn-ea"/>
              <a:cs typeface="+mn-cs"/>
            </a:rPr>
            <a:t>Cliquez ici pour davantage de détails</a:t>
          </a:r>
          <a:r>
            <a:rPr lang="fr-CA" sz="1100" b="0" i="0" u="none" strike="noStrike">
              <a:solidFill>
                <a:schemeClr val="dk1"/>
              </a:solidFill>
              <a:effectLst/>
              <a:latin typeface="+mn-lt"/>
              <a:ea typeface="+mn-ea"/>
              <a:cs typeface="+mn-cs"/>
            </a:rPr>
            <a:t>.</a:t>
          </a:r>
          <a:r>
            <a:rPr lang="fr-CA"/>
            <a:t> </a:t>
          </a:r>
          <a:endParaRPr lang="fr-CA" sz="1100"/>
        </a:p>
      </xdr:txBody>
    </xdr:sp>
    <xdr:clientData/>
  </xdr:twoCellAnchor>
  <xdr:twoCellAnchor editAs="oneCell">
    <xdr:from>
      <xdr:col>10</xdr:col>
      <xdr:colOff>28575</xdr:colOff>
      <xdr:row>12</xdr:row>
      <xdr:rowOff>25980</xdr:rowOff>
    </xdr:from>
    <xdr:to>
      <xdr:col>13</xdr:col>
      <xdr:colOff>532559</xdr:colOff>
      <xdr:row>20</xdr:row>
      <xdr:rowOff>179330</xdr:rowOff>
    </xdr:to>
    <xdr:pic>
      <xdr:nvPicPr>
        <xdr:cNvPr id="3" name="Image 2" descr="FNEEQ">
          <a:extLst>
            <a:ext uri="{FF2B5EF4-FFF2-40B4-BE49-F238E27FC236}">
              <a16:creationId xmlns:a16="http://schemas.microsoft.com/office/drawing/2014/main" id="{E260D363-142D-4ED3-B602-7BB160F468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2063" y="2245305"/>
          <a:ext cx="2789984" cy="1739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350972</xdr:colOff>
      <xdr:row>54</xdr:row>
      <xdr:rowOff>118235</xdr:rowOff>
    </xdr:from>
    <xdr:to>
      <xdr:col>10</xdr:col>
      <xdr:colOff>262801</xdr:colOff>
      <xdr:row>77</xdr:row>
      <xdr:rowOff>31082</xdr:rowOff>
    </xdr:to>
    <xdr:graphicFrame macro="">
      <xdr:nvGraphicFramePr>
        <xdr:cNvPr id="2" name="Graphique 1">
          <a:extLst>
            <a:ext uri="{FF2B5EF4-FFF2-40B4-BE49-F238E27FC236}">
              <a16:creationId xmlns:a16="http://schemas.microsoft.com/office/drawing/2014/main" id="{237D5544-E2CC-4D1B-AC9D-93688EC7C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564777</xdr:colOff>
      <xdr:row>99</xdr:row>
      <xdr:rowOff>198904</xdr:rowOff>
    </xdr:from>
    <xdr:to>
      <xdr:col>10</xdr:col>
      <xdr:colOff>1188665</xdr:colOff>
      <xdr:row>123</xdr:row>
      <xdr:rowOff>85445</xdr:rowOff>
    </xdr:to>
    <xdr:graphicFrame macro="">
      <xdr:nvGraphicFramePr>
        <xdr:cNvPr id="3" name="Graphique 2">
          <a:extLst>
            <a:ext uri="{FF2B5EF4-FFF2-40B4-BE49-F238E27FC236}">
              <a16:creationId xmlns:a16="http://schemas.microsoft.com/office/drawing/2014/main" id="{BA29A160-7356-40E1-9D3D-EDCB6FD38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143565</xdr:colOff>
      <xdr:row>40</xdr:row>
      <xdr:rowOff>176209</xdr:rowOff>
    </xdr:from>
    <xdr:to>
      <xdr:col>23</xdr:col>
      <xdr:colOff>759515</xdr:colOff>
      <xdr:row>62</xdr:row>
      <xdr:rowOff>108502</xdr:rowOff>
    </xdr:to>
    <xdr:grpSp>
      <xdr:nvGrpSpPr>
        <xdr:cNvPr id="4" name="Groupe 3">
          <a:extLst>
            <a:ext uri="{FF2B5EF4-FFF2-40B4-BE49-F238E27FC236}">
              <a16:creationId xmlns:a16="http://schemas.microsoft.com/office/drawing/2014/main" id="{EF4664DC-9BA0-4658-91CA-561AE00D5A84}"/>
            </a:ext>
          </a:extLst>
        </xdr:cNvPr>
        <xdr:cNvGrpSpPr/>
      </xdr:nvGrpSpPr>
      <xdr:grpSpPr>
        <a:xfrm>
          <a:off x="13796812" y="7858962"/>
          <a:ext cx="10455163" cy="4047093"/>
          <a:chOff x="12239625" y="8024810"/>
          <a:chExt cx="9229725" cy="4224340"/>
        </a:xfrm>
      </xdr:grpSpPr>
      <xdr:graphicFrame macro="">
        <xdr:nvGraphicFramePr>
          <xdr:cNvPr id="5" name="Graphique 4">
            <a:extLst>
              <a:ext uri="{FF2B5EF4-FFF2-40B4-BE49-F238E27FC236}">
                <a16:creationId xmlns:a16="http://schemas.microsoft.com/office/drawing/2014/main" id="{56DADFFB-EC90-470D-85A2-E24CE851A5C6}"/>
              </a:ext>
            </a:extLst>
          </xdr:cNvPr>
          <xdr:cNvGraphicFramePr/>
        </xdr:nvGraphicFramePr>
        <xdr:xfrm>
          <a:off x="12239625" y="8024810"/>
          <a:ext cx="9229725" cy="414813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 name="ZoneTexte 5">
            <a:extLst>
              <a:ext uri="{FF2B5EF4-FFF2-40B4-BE49-F238E27FC236}">
                <a16:creationId xmlns:a16="http://schemas.microsoft.com/office/drawing/2014/main" id="{558C1B4C-C45B-4747-B3F4-4E5C917B4D01}"/>
              </a:ext>
            </a:extLst>
          </xdr:cNvPr>
          <xdr:cNvSpPr txBox="1"/>
        </xdr:nvSpPr>
        <xdr:spPr>
          <a:xfrm>
            <a:off x="20735925" y="12020550"/>
            <a:ext cx="638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Année</a:t>
            </a:r>
          </a:p>
        </xdr:txBody>
      </xdr:sp>
    </xdr:grpSp>
    <xdr:clientData/>
  </xdr:twoCellAnchor>
  <xdr:twoCellAnchor>
    <xdr:from>
      <xdr:col>13</xdr:col>
      <xdr:colOff>1075302</xdr:colOff>
      <xdr:row>61</xdr:row>
      <xdr:rowOff>126636</xdr:rowOff>
    </xdr:from>
    <xdr:to>
      <xdr:col>23</xdr:col>
      <xdr:colOff>1480960</xdr:colOff>
      <xdr:row>83</xdr:row>
      <xdr:rowOff>133471</xdr:rowOff>
    </xdr:to>
    <xdr:grpSp>
      <xdr:nvGrpSpPr>
        <xdr:cNvPr id="8" name="Groupe 7">
          <a:extLst>
            <a:ext uri="{FF2B5EF4-FFF2-40B4-BE49-F238E27FC236}">
              <a16:creationId xmlns:a16="http://schemas.microsoft.com/office/drawing/2014/main" id="{5EE837EC-ED99-488A-B844-5315421866E8}"/>
            </a:ext>
          </a:extLst>
        </xdr:cNvPr>
        <xdr:cNvGrpSpPr/>
      </xdr:nvGrpSpPr>
      <xdr:grpSpPr>
        <a:xfrm>
          <a:off x="14728549" y="11735930"/>
          <a:ext cx="9528591" cy="3987165"/>
          <a:chOff x="12239625" y="8024810"/>
          <a:chExt cx="9229725" cy="4224340"/>
        </a:xfrm>
      </xdr:grpSpPr>
      <xdr:graphicFrame macro="">
        <xdr:nvGraphicFramePr>
          <xdr:cNvPr id="10" name="Graphique 9">
            <a:extLst>
              <a:ext uri="{FF2B5EF4-FFF2-40B4-BE49-F238E27FC236}">
                <a16:creationId xmlns:a16="http://schemas.microsoft.com/office/drawing/2014/main" id="{7F79935D-65CB-4DA2-919A-96DCFFD80C10}"/>
              </a:ext>
            </a:extLst>
          </xdr:cNvPr>
          <xdr:cNvGraphicFramePr/>
        </xdr:nvGraphicFramePr>
        <xdr:xfrm>
          <a:off x="12239625" y="8024810"/>
          <a:ext cx="9229725" cy="414813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1" name="ZoneTexte 10">
            <a:extLst>
              <a:ext uri="{FF2B5EF4-FFF2-40B4-BE49-F238E27FC236}">
                <a16:creationId xmlns:a16="http://schemas.microsoft.com/office/drawing/2014/main" id="{F400C81B-2EFB-4EBC-A7BD-72EF0C031E35}"/>
              </a:ext>
            </a:extLst>
          </xdr:cNvPr>
          <xdr:cNvSpPr txBox="1"/>
        </xdr:nvSpPr>
        <xdr:spPr>
          <a:xfrm>
            <a:off x="20735925" y="12020550"/>
            <a:ext cx="638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Year</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0.01971</cdr:x>
      <cdr:y>0.05108</cdr:y>
    </cdr:from>
    <cdr:to>
      <cdr:x>0.05579</cdr:x>
      <cdr:y>0.34428</cdr:y>
    </cdr:to>
    <cdr:sp macro="" textlink="">
      <cdr:nvSpPr>
        <cdr:cNvPr id="2" name="ZoneTexte 1">
          <a:extLst xmlns:a="http://schemas.openxmlformats.org/drawingml/2006/main">
            <a:ext uri="{FF2B5EF4-FFF2-40B4-BE49-F238E27FC236}">
              <a16:creationId xmlns:a16="http://schemas.microsoft.com/office/drawing/2014/main" id="{A941712C-7028-4231-81FE-CEB53F19D2C1}"/>
            </a:ext>
          </a:extLst>
        </cdr:cNvPr>
        <cdr:cNvSpPr txBox="1"/>
      </cdr:nvSpPr>
      <cdr:spPr>
        <a:xfrm xmlns:a="http://schemas.openxmlformats.org/drawingml/2006/main" rot="16200000">
          <a:off x="-208121" y="559572"/>
          <a:ext cx="1057041" cy="3061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Milliards</a:t>
          </a:r>
          <a:r>
            <a:rPr lang="fr-CA" sz="1100" baseline="0"/>
            <a:t> de </a:t>
          </a:r>
          <a:r>
            <a:rPr lang="fr-CA" sz="1100"/>
            <a:t> $</a:t>
          </a:r>
        </a:p>
      </cdr:txBody>
    </cdr:sp>
  </cdr:relSizeAnchor>
</c:userShapes>
</file>

<file path=xl/drawings/drawing7.xml><?xml version="1.0" encoding="utf-8"?>
<c:userShapes xmlns:c="http://schemas.openxmlformats.org/drawingml/2006/chart">
  <cdr:relSizeAnchor xmlns:cdr="http://schemas.openxmlformats.org/drawingml/2006/chartDrawing">
    <cdr:from>
      <cdr:x>0.01971</cdr:x>
      <cdr:y>0.13475</cdr:y>
    </cdr:from>
    <cdr:to>
      <cdr:x>0.05579</cdr:x>
      <cdr:y>0.34428</cdr:y>
    </cdr:to>
    <cdr:sp macro="" textlink="">
      <cdr:nvSpPr>
        <cdr:cNvPr id="2" name="ZoneTexte 1">
          <a:extLst xmlns:a="http://schemas.openxmlformats.org/drawingml/2006/main">
            <a:ext uri="{FF2B5EF4-FFF2-40B4-BE49-F238E27FC236}">
              <a16:creationId xmlns:a16="http://schemas.microsoft.com/office/drawing/2014/main" id="{A941712C-7028-4231-81FE-CEB53F19D2C1}"/>
            </a:ext>
          </a:extLst>
        </cdr:cNvPr>
        <cdr:cNvSpPr txBox="1"/>
      </cdr:nvSpPr>
      <cdr:spPr>
        <a:xfrm xmlns:a="http://schemas.openxmlformats.org/drawingml/2006/main" rot="16200000">
          <a:off x="-85764" y="824987"/>
          <a:ext cx="867132" cy="3324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Billions of $</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162713</xdr:colOff>
      <xdr:row>49</xdr:row>
      <xdr:rowOff>154094</xdr:rowOff>
    </xdr:from>
    <xdr:to>
      <xdr:col>9</xdr:col>
      <xdr:colOff>74542</xdr:colOff>
      <xdr:row>72</xdr:row>
      <xdr:rowOff>57977</xdr:rowOff>
    </xdr:to>
    <xdr:graphicFrame macro="">
      <xdr:nvGraphicFramePr>
        <xdr:cNvPr id="2" name="Graphique 1">
          <a:extLst>
            <a:ext uri="{FF2B5EF4-FFF2-40B4-BE49-F238E27FC236}">
              <a16:creationId xmlns:a16="http://schemas.microsoft.com/office/drawing/2014/main" id="{C88E439B-2538-43C3-9B26-63BE61F35A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104</xdr:row>
      <xdr:rowOff>28575</xdr:rowOff>
    </xdr:from>
    <xdr:to>
      <xdr:col>9</xdr:col>
      <xdr:colOff>623888</xdr:colOff>
      <xdr:row>127</xdr:row>
      <xdr:rowOff>157163</xdr:rowOff>
    </xdr:to>
    <xdr:graphicFrame macro="">
      <xdr:nvGraphicFramePr>
        <xdr:cNvPr id="3" name="Graphique 2">
          <a:extLst>
            <a:ext uri="{FF2B5EF4-FFF2-40B4-BE49-F238E27FC236}">
              <a16:creationId xmlns:a16="http://schemas.microsoft.com/office/drawing/2014/main" id="{98B2BB63-C2B5-44F8-8F80-2065C9068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2051</xdr:colOff>
      <xdr:row>39</xdr:row>
      <xdr:rowOff>53744</xdr:rowOff>
    </xdr:from>
    <xdr:to>
      <xdr:col>24</xdr:col>
      <xdr:colOff>11122</xdr:colOff>
      <xdr:row>60</xdr:row>
      <xdr:rowOff>176537</xdr:rowOff>
    </xdr:to>
    <xdr:grpSp>
      <xdr:nvGrpSpPr>
        <xdr:cNvPr id="4" name="Groupe 3">
          <a:extLst>
            <a:ext uri="{FF2B5EF4-FFF2-40B4-BE49-F238E27FC236}">
              <a16:creationId xmlns:a16="http://schemas.microsoft.com/office/drawing/2014/main" id="{206F9188-18BA-4DED-B2B5-951668A39E18}"/>
            </a:ext>
          </a:extLst>
        </xdr:cNvPr>
        <xdr:cNvGrpSpPr/>
      </xdr:nvGrpSpPr>
      <xdr:grpSpPr>
        <a:xfrm>
          <a:off x="13779011" y="7605164"/>
          <a:ext cx="8779691" cy="4115673"/>
          <a:chOff x="12239625" y="8024810"/>
          <a:chExt cx="9229725" cy="4224340"/>
        </a:xfrm>
      </xdr:grpSpPr>
      <xdr:graphicFrame macro="">
        <xdr:nvGraphicFramePr>
          <xdr:cNvPr id="5" name="Graphique 4">
            <a:extLst>
              <a:ext uri="{FF2B5EF4-FFF2-40B4-BE49-F238E27FC236}">
                <a16:creationId xmlns:a16="http://schemas.microsoft.com/office/drawing/2014/main" id="{60C98A3C-A00C-44AB-B2AE-B5B4C39272C2}"/>
              </a:ext>
            </a:extLst>
          </xdr:cNvPr>
          <xdr:cNvGraphicFramePr/>
        </xdr:nvGraphicFramePr>
        <xdr:xfrm>
          <a:off x="12239625" y="8024810"/>
          <a:ext cx="9229725" cy="414813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 name="ZoneTexte 5">
            <a:extLst>
              <a:ext uri="{FF2B5EF4-FFF2-40B4-BE49-F238E27FC236}">
                <a16:creationId xmlns:a16="http://schemas.microsoft.com/office/drawing/2014/main" id="{E3898122-91AC-4C64-AD0F-CB395293895C}"/>
              </a:ext>
            </a:extLst>
          </xdr:cNvPr>
          <xdr:cNvSpPr txBox="1"/>
        </xdr:nvSpPr>
        <xdr:spPr>
          <a:xfrm>
            <a:off x="20735925" y="12020550"/>
            <a:ext cx="638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Année</a:t>
            </a:r>
          </a:p>
        </xdr:txBody>
      </xdr:sp>
    </xdr:grpSp>
    <xdr:clientData/>
  </xdr:twoCellAnchor>
  <xdr:twoCellAnchor>
    <xdr:from>
      <xdr:col>13</xdr:col>
      <xdr:colOff>204856</xdr:colOff>
      <xdr:row>60</xdr:row>
      <xdr:rowOff>154675</xdr:rowOff>
    </xdr:from>
    <xdr:to>
      <xdr:col>24</xdr:col>
      <xdr:colOff>58806</xdr:colOff>
      <xdr:row>82</xdr:row>
      <xdr:rowOff>161510</xdr:rowOff>
    </xdr:to>
    <xdr:grpSp>
      <xdr:nvGrpSpPr>
        <xdr:cNvPr id="7" name="Groupe 6">
          <a:extLst>
            <a:ext uri="{FF2B5EF4-FFF2-40B4-BE49-F238E27FC236}">
              <a16:creationId xmlns:a16="http://schemas.microsoft.com/office/drawing/2014/main" id="{164F8F8D-016E-4EA4-B28D-EC23ED063F16}"/>
            </a:ext>
          </a:extLst>
        </xdr:cNvPr>
        <xdr:cNvGrpSpPr/>
      </xdr:nvGrpSpPr>
      <xdr:grpSpPr>
        <a:xfrm>
          <a:off x="13242676" y="11698975"/>
          <a:ext cx="9363710" cy="4121635"/>
          <a:chOff x="12239625" y="8024810"/>
          <a:chExt cx="9229725" cy="4224340"/>
        </a:xfrm>
      </xdr:grpSpPr>
      <xdr:graphicFrame macro="">
        <xdr:nvGraphicFramePr>
          <xdr:cNvPr id="8" name="Graphique 7">
            <a:extLst>
              <a:ext uri="{FF2B5EF4-FFF2-40B4-BE49-F238E27FC236}">
                <a16:creationId xmlns:a16="http://schemas.microsoft.com/office/drawing/2014/main" id="{61FC1BAA-959B-44F8-887C-7AADB3985AB8}"/>
              </a:ext>
            </a:extLst>
          </xdr:cNvPr>
          <xdr:cNvGraphicFramePr/>
        </xdr:nvGraphicFramePr>
        <xdr:xfrm>
          <a:off x="12239625" y="8024810"/>
          <a:ext cx="9229725" cy="414813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9" name="ZoneTexte 8">
            <a:extLst>
              <a:ext uri="{FF2B5EF4-FFF2-40B4-BE49-F238E27FC236}">
                <a16:creationId xmlns:a16="http://schemas.microsoft.com/office/drawing/2014/main" id="{4704DC9F-F35C-4711-97B0-CAA1FC7C5584}"/>
              </a:ext>
            </a:extLst>
          </xdr:cNvPr>
          <xdr:cNvSpPr txBox="1"/>
        </xdr:nvSpPr>
        <xdr:spPr>
          <a:xfrm>
            <a:off x="20735925" y="12020550"/>
            <a:ext cx="638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Year</a:t>
            </a:r>
          </a:p>
        </xdr:txBody>
      </xdr:sp>
    </xdr:grpSp>
    <xdr:clientData/>
  </xdr:twoCellAnchor>
  <xdr:twoCellAnchor editAs="oneCell">
    <xdr:from>
      <xdr:col>39</xdr:col>
      <xdr:colOff>581025</xdr:colOff>
      <xdr:row>44</xdr:row>
      <xdr:rowOff>38101</xdr:rowOff>
    </xdr:from>
    <xdr:to>
      <xdr:col>49</xdr:col>
      <xdr:colOff>356985</xdr:colOff>
      <xdr:row>50</xdr:row>
      <xdr:rowOff>125801</xdr:rowOff>
    </xdr:to>
    <xdr:pic>
      <xdr:nvPicPr>
        <xdr:cNvPr id="10" name="Picture 1">
          <a:extLst>
            <a:ext uri="{FF2B5EF4-FFF2-40B4-BE49-F238E27FC236}">
              <a16:creationId xmlns:a16="http://schemas.microsoft.com/office/drawing/2014/main" id="{60735A2E-FDD1-498A-9E3B-B9EC0FB33906}"/>
            </a:ext>
          </a:extLst>
        </xdr:cNvPr>
        <xdr:cNvPicPr>
          <a:picLocks noChangeAspect="1"/>
        </xdr:cNvPicPr>
      </xdr:nvPicPr>
      <xdr:blipFill>
        <a:blip xmlns:r="http://schemas.openxmlformats.org/officeDocument/2006/relationships" r:embed="rId5"/>
        <a:stretch>
          <a:fillRect/>
        </a:stretch>
      </xdr:blipFill>
      <xdr:spPr>
        <a:xfrm>
          <a:off x="36366450" y="8839201"/>
          <a:ext cx="8681835" cy="1230700"/>
        </a:xfrm>
        <a:prstGeom prst="rect">
          <a:avLst/>
        </a:prstGeom>
      </xdr:spPr>
    </xdr:pic>
    <xdr:clientData/>
  </xdr:twoCellAnchor>
  <xdr:twoCellAnchor editAs="oneCell">
    <xdr:from>
      <xdr:col>35</xdr:col>
      <xdr:colOff>466725</xdr:colOff>
      <xdr:row>47</xdr:row>
      <xdr:rowOff>190500</xdr:rowOff>
    </xdr:from>
    <xdr:to>
      <xdr:col>40</xdr:col>
      <xdr:colOff>426849</xdr:colOff>
      <xdr:row>51</xdr:row>
      <xdr:rowOff>176940</xdr:rowOff>
    </xdr:to>
    <xdr:pic>
      <xdr:nvPicPr>
        <xdr:cNvPr id="11" name="Picture 2">
          <a:extLst>
            <a:ext uri="{FF2B5EF4-FFF2-40B4-BE49-F238E27FC236}">
              <a16:creationId xmlns:a16="http://schemas.microsoft.com/office/drawing/2014/main" id="{5156EA69-7B0F-4527-A6C0-71E820AABC22}"/>
            </a:ext>
          </a:extLst>
        </xdr:cNvPr>
        <xdr:cNvPicPr>
          <a:picLocks noChangeAspect="1"/>
        </xdr:cNvPicPr>
      </xdr:nvPicPr>
      <xdr:blipFill>
        <a:blip xmlns:r="http://schemas.openxmlformats.org/officeDocument/2006/relationships" r:embed="rId6"/>
        <a:stretch>
          <a:fillRect/>
        </a:stretch>
      </xdr:blipFill>
      <xdr:spPr>
        <a:xfrm>
          <a:off x="30994350" y="9610725"/>
          <a:ext cx="4700852" cy="74844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0.01971</cdr:x>
      <cdr:y>0.05108</cdr:y>
    </cdr:from>
    <cdr:to>
      <cdr:x>0.05579</cdr:x>
      <cdr:y>0.34428</cdr:y>
    </cdr:to>
    <cdr:sp macro="" textlink="">
      <cdr:nvSpPr>
        <cdr:cNvPr id="2" name="ZoneTexte 1">
          <a:extLst xmlns:a="http://schemas.openxmlformats.org/drawingml/2006/main">
            <a:ext uri="{FF2B5EF4-FFF2-40B4-BE49-F238E27FC236}">
              <a16:creationId xmlns:a16="http://schemas.microsoft.com/office/drawing/2014/main" id="{A941712C-7028-4231-81FE-CEB53F19D2C1}"/>
            </a:ext>
          </a:extLst>
        </cdr:cNvPr>
        <cdr:cNvSpPr txBox="1"/>
      </cdr:nvSpPr>
      <cdr:spPr>
        <a:xfrm xmlns:a="http://schemas.openxmlformats.org/drawingml/2006/main" rot="16200000">
          <a:off x="-208121" y="559572"/>
          <a:ext cx="1057041" cy="3061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1100"/>
            <a:t>Milliards</a:t>
          </a:r>
          <a:r>
            <a:rPr lang="fr-CA" sz="1100" baseline="0"/>
            <a:t> de </a:t>
          </a:r>
          <a:r>
            <a:rPr lang="fr-CA" sz="1100"/>
            <a:t> $</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0F6C44-EC31-41C3-9B0E-34F9B75FB80E}" name="Tableau2" displayName="Tableau2" ref="C11:K70" totalsRowShown="0" headerRowDxfId="51" dataDxfId="50" tableBorderDxfId="49">
  <autoFilter ref="C11:K70" xr:uid="{7F0F6C44-EC31-41C3-9B0E-34F9B75FB8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FF45BFC-B033-47CA-8D95-664C3759D39E}" name="Année" dataDxfId="48"/>
    <tableColumn id="2" xr3:uid="{1973C326-E90C-4E19-A555-44968F750066}" name="Mois de cotisation" dataDxfId="47">
      <calculatedColumnFormula>IF($C12=(YEAR(M$12)+18),12-MONTH(M$12),IF($C12&gt;(YEAR(M$12)+18),12,0))</calculatedColumnFormula>
    </tableColumn>
    <tableColumn id="3" xr3:uid="{D27F1310-3343-43C1-903A-0B13BE1719C2}" name="MGA atteint" dataDxfId="46">
      <calculatedColumnFormula>IF(RRQ!$H12=RRQ!$G12,"oui","")</calculatedColumnFormula>
    </tableColumn>
    <tableColumn id="4" xr3:uid="{AAFF5C97-084F-4CAD-978C-1D819F648EC0}" name="Exemption" dataDxfId="45"/>
    <tableColumn id="5" xr3:uid="{6807C3E1-F728-48FD-A6DE-300FBBA937C3}" name="MGA" dataDxfId="44"/>
    <tableColumn id="6" xr3:uid="{DACBF184-5ACA-410A-84BA-5B58CB2E5932}" name="Revenus admissibles" dataDxfId="43"/>
    <tableColumn id="7" xr3:uid="{DA00F777-65CD-45F5-AC15-BAA35A42CC80}" name="Revenu de travail annuel réajusté*" dataDxfId="42">
      <calculatedColumnFormula>RRQ!$H12*AVERAGE(G$12:G$16)/RRQ!$G12</calculatedColumnFormula>
    </tableColumn>
    <tableColumn id="8" xr3:uid="{567C519D-C340-4D56-B0D2-D3F5327D5F6A}" name="Nombre de mois à retrancher" dataDxfId="41"/>
    <tableColumn id="9" xr3:uid="{67C6B761-9124-4100-9D99-35C430589349}" name="Revenus de travail retranchés" dataDxfId="40">
      <calculatedColumnFormula>RRQ!$J12/12*RRQ!$I12</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E22C07-A2BF-4002-8B9D-A0CDA90E6265}" name="Tableau6" displayName="Tableau6" ref="AE6:AL24" totalsRowShown="0" headerRowDxfId="39" dataDxfId="37" headerRowBorderDxfId="38" tableBorderDxfId="36" totalsRowBorderDxfId="35">
  <autoFilter ref="AE6:AL24" xr:uid="{0DE22C07-A2BF-4002-8B9D-A0CDA90E6265}"/>
  <tableColumns count="8">
    <tableColumn id="1" xr3:uid="{124483B4-5CB6-4C4E-8C7B-3D351DD69FAF}" name="Échelon​" dataDxfId="34"/>
    <tableColumn id="8" xr3:uid="{E3FEA8B7-3A3E-4C59-9991-4FBDDDDB798F}" name="—" dataDxfId="33"/>
    <tableColumn id="2" xr3:uid="{C36C3FB5-390B-4ABD-BBD3-9C61F0B1B034}" name="1" dataDxfId="32"/>
    <tableColumn id="3" xr3:uid="{0658D1F2-20C0-4C73-8906-51E249F85633}" name="2" dataDxfId="31"/>
    <tableColumn id="4" xr3:uid="{E504AA7D-0659-4231-ACBE-02E70AD1A727}" name="3" dataDxfId="30"/>
    <tableColumn id="5" xr3:uid="{5758C56B-74EB-4B6B-9F80-B09C700461A6}" name="4" dataDxfId="29"/>
    <tableColumn id="6" xr3:uid="{B8ABFADC-326C-45A0-B602-FC1A289E93DD}" name="5" dataDxfId="28"/>
    <tableColumn id="7" xr3:uid="{D2F0CA5F-C2E8-47DD-B8E7-5068B0CBD6FD}" name="6" dataDxfId="2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C96608-1A10-42E6-B510-8818C6A80149}" name="Tableau1" displayName="Tableau1" ref="X10:AD30" totalsRowShown="0" headerRowDxfId="26" headerRowBorderDxfId="25" tableBorderDxfId="24" totalsRowBorderDxfId="23">
  <autoFilter ref="X10:AD30" xr:uid="{4A71B3CE-7747-4C02-B941-DD4984912406}"/>
  <tableColumns count="7">
    <tableColumn id="1" xr3:uid="{4C7FD989-5A2D-48C1-B618-7D64BA88BBD0}" name="Éch." dataDxfId="22"/>
    <tableColumn id="2" xr3:uid="{A0740EE3-54B3-4EDB-9D06-52E2B522DA91}" name="Sal_conven" dataDxfId="21"/>
    <tableColumn id="6" xr3:uid="{9D98F3A9-6DA4-4BBF-84E5-3FFDBF9412BB}" name="Salaire_cotisable" dataDxfId="20">
      <calculatedColumnFormula>Tableau1[[#This Row],[Sal_conven]]*Service</calculatedColumnFormula>
    </tableColumn>
    <tableColumn id="3" xr3:uid="{7C1BCDB5-17C9-4BE3-814B-3C25F98DFB10}" name="Taux" dataDxfId="19">
      <calculatedColumnFormula>IF(Tableau1[[#This Row],[Salaire_cotisable]]&lt;_35__du_MGA,0,(Tableau1[[#This Row],[Salaire_cotisable]]-Exemption)*Taux_de_cotisation)</calculatedColumnFormula>
    </tableColumn>
    <tableColumn id="4" xr3:uid="{2DB1A6B9-4A69-4A1F-B06C-DD7CCD0C5269}" name="Réduction" dataDxfId="18">
      <calculatedColumnFormula>IF(Tableau1[[#This Row],[Salaire_cotisable]]&lt;_35__du_MGA,0,IF(Facteur_de_réduction*((MGA*Service)-Tableau1[[#This Row],[Salaire_cotisable]])&gt;0,Facteur_de_réduction*((MGA*Service)-Tableau1[[#This Row],[Salaire_cotisable]]),0))</calculatedColumnFormula>
    </tableColumn>
    <tableColumn id="5" xr3:uid="{424DDDFE-189B-4368-B9A2-EEC650EF1D31}" name="Cotisation" dataDxfId="17">
      <calculatedColumnFormula>IF(Tableau1[[#This Row],[Salaire_cotisable]]&gt;_35__du_MGA,Tableau1[[#This Row],[Taux]]-Tableau1[[#This Row],[Réduction]],0)</calculatedColumnFormula>
    </tableColumn>
    <tableColumn id="8" xr3:uid="{24F8EC58-4E2E-4D16-80FB-DD229B3109DC}" name="Par paye" dataDxfId="16">
      <calculatedColumnFormula>Tableau1[[#This Row],[Cotisation]]/26</calculatedColumnFormula>
    </tableColumn>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F264B4-7402-4143-B38C-7825F1096EE6}" name="Tableau15" displayName="Tableau15" ref="X10:AD30" totalsRowShown="0" headerRowDxfId="15" headerRowBorderDxfId="14" tableBorderDxfId="13" totalsRowBorderDxfId="12">
  <autoFilter ref="X10:AD30" xr:uid="{58F264B4-7402-4143-B38C-7825F1096EE6}"/>
  <tableColumns count="7">
    <tableColumn id="1" xr3:uid="{73409FAE-0D6C-40B9-B92D-15C45E776F03}" name="Éch." dataDxfId="11">
      <calculatedColumnFormula>PP!X11</calculatedColumnFormula>
    </tableColumn>
    <tableColumn id="2" xr3:uid="{9AD40D89-FCD9-43EB-B81D-D370083A959A}" name="Sal_conven" dataDxfId="10">
      <calculatedColumnFormula>PP!Y11</calculatedColumnFormula>
    </tableColumn>
    <tableColumn id="6" xr3:uid="{EC430D8E-A903-4444-B6D1-2199AA10D7D1}" name="Salaire_cotisable" dataDxfId="9">
      <calculatedColumnFormula>PP!Z11</calculatedColumnFormula>
    </tableColumn>
    <tableColumn id="3" xr3:uid="{78CF9D19-602D-44DA-917C-A9BD922DAB67}" name="Taux" dataDxfId="8">
      <calculatedColumnFormula>PP!AA11</calculatedColumnFormula>
    </tableColumn>
    <tableColumn id="4" xr3:uid="{BE3FE467-B163-4988-8358-3C7ABC0EEAA1}" name="Réduction" dataDxfId="7">
      <calculatedColumnFormula>PP!AB11</calculatedColumnFormula>
    </tableColumn>
    <tableColumn id="5" xr3:uid="{AC491F17-74D0-40BC-9269-26F8CA870BEB}" name="Cotisation" dataDxfId="6">
      <calculatedColumnFormula>PP!AC11</calculatedColumnFormula>
    </tableColumn>
    <tableColumn id="8" xr3:uid="{92B8EFAC-73BF-4017-81D6-1285BB9BE6B7}" name="Par paye" dataDxfId="5">
      <calculatedColumnFormula>PP!AD11</calculatedColumnFormula>
    </tableColumn>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AF25BD5-51C7-4A72-A120-942A25A87263}" name="Tair_" displayName="Tair_" ref="B14:C65" totalsRowShown="0" headerRowDxfId="4" headerRowBorderDxfId="3" tableBorderDxfId="2">
  <autoFilter ref="B14:C65" xr:uid="{5458700C-58A1-4AB0-93BE-85D9A3D5CF86}"/>
  <tableColumns count="2">
    <tableColumn id="1" xr3:uid="{7AF46EE4-6A2C-4D11-8311-BE813199EC8B}" name="Année" dataDxfId="1"/>
    <tableColumn id="2" xr3:uid="{952733B6-2872-442C-8506-22FC1B104D9E}" name="TAIR"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etraitequebec.gouv.qc.ca/fr/publications/rrsp/rregop/Pages/rregop.aspx" TargetMode="External"/><Relationship Id="rId2" Type="http://schemas.openxmlformats.org/officeDocument/2006/relationships/hyperlink" Target="https://www.rrq.gouv.qc.ca/SiteCollectionDocuments/www.rrq.gouv.qc/Francais/formulaires/regimes-retraite-secteur-public/RSP-009_fr.pdf" TargetMode="External"/><Relationship Id="rId1" Type="http://schemas.openxmlformats.org/officeDocument/2006/relationships/hyperlink" Target="https://estimationrente.retraitequebec.gouv.qc.ca/Accueil.aspx"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etraitequebec.gouv.qc.ca/fr/services-en-ligne-outils/simulr/Pages/simulR.aspx" TargetMode="External"/><Relationship Id="rId7" Type="http://schemas.openxmlformats.org/officeDocument/2006/relationships/table" Target="../tables/table1.xml"/><Relationship Id="rId2" Type="http://schemas.openxmlformats.org/officeDocument/2006/relationships/hyperlink" Target="https://www.retraitequebec.gouv.qc.ca/fr/publications/nos-programmes/regime-de-rentes-du-quebec/retraite/Pages/methode-de-calcul-de-la-rente-rrq.aspx" TargetMode="External"/><Relationship Id="rId1" Type="http://schemas.openxmlformats.org/officeDocument/2006/relationships/hyperlink" Target="https://www.rrq.gouv.qc.ca/fr/retraite/rrq/Pages/calcul_rente.aspx"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rrq.gouv.qc.ca/fr/services/services_en_ligne/planification/Pages/simulation.asp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stimateursv-oasestimator.service.canada.ca/fr" TargetMode="External"/><Relationship Id="rId1" Type="http://schemas.openxmlformats.org/officeDocument/2006/relationships/hyperlink" Target="https://www.canada.ca/fr/services/prestations/pensionspubliques/rpc/securite-vieillesse.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file:///C:\Users\leblc\AppData\Local\Microsoft\Windows\INetCache\Content.Outlook\GOAEHSNL\Formation_RREGOP.pptx" TargetMode="External"/><Relationship Id="rId7" Type="http://schemas.openxmlformats.org/officeDocument/2006/relationships/drawing" Target="../drawings/drawing5.xml"/><Relationship Id="rId2" Type="http://schemas.openxmlformats.org/officeDocument/2006/relationships/hyperlink" Target="file:///C:\Users\leblc\AppData\Local\Microsoft\Windows\INetCache\Content.Outlook\GOAEHSNL\Formation_RREGOP_mars_2022.pptx" TargetMode="External"/><Relationship Id="rId1" Type="http://schemas.openxmlformats.org/officeDocument/2006/relationships/hyperlink" Target="https://www.retraitequebec.gouv.qc.ca/fr/publications/rrsp/rregop/Pages/rregop.aspx" TargetMode="External"/><Relationship Id="rId6" Type="http://schemas.openxmlformats.org/officeDocument/2006/relationships/printerSettings" Target="../printerSettings/printerSettings6.bin"/><Relationship Id="rId5" Type="http://schemas.openxmlformats.org/officeDocument/2006/relationships/hyperlink" Target="https://www.retraitequebec.gouv.qc.ca/fr/publications/nos-programmes/rrsp/rendements-des-fonds-de-certains-rrsp/Pages/rendements-des-fonds-de-certains-rrsp.aspx" TargetMode="External"/><Relationship Id="rId4" Type="http://schemas.openxmlformats.org/officeDocument/2006/relationships/hyperlink" Target="https://www.rrq.gouv.qc.ca/fra/cnrrsp/default.aspx?_ga=2.221813343.615087576.1610547916-2078688579.157477257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carra.gouv.qc.ca/fra/publications/etat_participation/etat_participation_exemple.htm" TargetMode="External"/><Relationship Id="rId2" Type="http://schemas.openxmlformats.org/officeDocument/2006/relationships/hyperlink" Target="file:///C:\Users\leblc\AppData\Local\Microsoft\Windows\INetCache\Content.Outlook\GOAEHSNL\Formation_RREGOP_multi_english.pptx" TargetMode="External"/><Relationship Id="rId1" Type="http://schemas.openxmlformats.org/officeDocument/2006/relationships/hyperlink" Target="https://www.retraitequebec.gouv.qc.ca/fr/publications/rrsp/rregop/Pages/rregop.aspx" TargetMode="External"/><Relationship Id="rId6" Type="http://schemas.openxmlformats.org/officeDocument/2006/relationships/table" Target="../tables/table4.xml"/><Relationship Id="rId5" Type="http://schemas.openxmlformats.org/officeDocument/2006/relationships/drawing" Target="../drawings/drawing8.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C000"/>
    <pageSetUpPr fitToPage="1"/>
  </sheetPr>
  <dimension ref="A1:D21"/>
  <sheetViews>
    <sheetView showGridLines="0" tabSelected="1" topLeftCell="A11" zoomScale="85" zoomScaleNormal="85" workbookViewId="0">
      <selection activeCell="C15" sqref="C15"/>
    </sheetView>
  </sheetViews>
  <sheetFormatPr baseColWidth="10" defaultRowHeight="14.4" x14ac:dyDescent="0.3"/>
  <cols>
    <col min="1" max="1" width="4" customWidth="1"/>
    <col min="2" max="2" width="2.44140625" customWidth="1"/>
    <col min="3" max="3" width="153.77734375" customWidth="1"/>
    <col min="4" max="4" width="3.77734375" customWidth="1"/>
  </cols>
  <sheetData>
    <row r="1" spans="1:4" ht="15" thickBot="1" x14ac:dyDescent="0.35"/>
    <row r="2" spans="1:4" ht="174.6" customHeight="1" thickTop="1" x14ac:dyDescent="0.3">
      <c r="A2" s="26"/>
      <c r="B2" s="462"/>
      <c r="C2" s="463" t="s">
        <v>430</v>
      </c>
      <c r="D2" s="451"/>
    </row>
    <row r="3" spans="1:4" ht="113.4" x14ac:dyDescent="0.35">
      <c r="A3" s="3"/>
      <c r="B3" s="464"/>
      <c r="C3" s="456" t="s">
        <v>419</v>
      </c>
      <c r="D3" s="453"/>
    </row>
    <row r="4" spans="1:4" ht="17.25" customHeight="1" x14ac:dyDescent="0.3">
      <c r="A4" s="3"/>
      <c r="B4" s="464"/>
      <c r="D4" s="453"/>
    </row>
    <row r="5" spans="1:4" ht="28.8" x14ac:dyDescent="0.3">
      <c r="A5" s="3"/>
      <c r="B5" s="464"/>
      <c r="C5" s="457" t="s">
        <v>394</v>
      </c>
      <c r="D5" s="453"/>
    </row>
    <row r="6" spans="1:4" ht="14.55" customHeight="1" x14ac:dyDescent="0.3">
      <c r="B6" s="452"/>
      <c r="C6" s="458"/>
      <c r="D6" s="453"/>
    </row>
    <row r="7" spans="1:4" ht="21" x14ac:dyDescent="0.3">
      <c r="B7" s="452"/>
      <c r="C7" s="458" t="s">
        <v>459</v>
      </c>
      <c r="D7" s="453"/>
    </row>
    <row r="8" spans="1:4" ht="8.5500000000000007" customHeight="1" x14ac:dyDescent="0.3">
      <c r="B8" s="452"/>
      <c r="C8" s="458"/>
      <c r="D8" s="453"/>
    </row>
    <row r="9" spans="1:4" ht="21" x14ac:dyDescent="0.3">
      <c r="B9" s="452"/>
      <c r="C9" s="458" t="s">
        <v>460</v>
      </c>
      <c r="D9" s="453"/>
    </row>
    <row r="10" spans="1:4" ht="9" customHeight="1" x14ac:dyDescent="0.3">
      <c r="B10" s="452"/>
      <c r="C10" s="458"/>
      <c r="D10" s="453"/>
    </row>
    <row r="11" spans="1:4" ht="63" x14ac:dyDescent="0.3">
      <c r="B11" s="452"/>
      <c r="C11" s="459" t="s">
        <v>461</v>
      </c>
      <c r="D11" s="453"/>
    </row>
    <row r="12" spans="1:4" ht="9" customHeight="1" x14ac:dyDescent="0.3">
      <c r="B12" s="452"/>
      <c r="C12" s="458"/>
      <c r="D12" s="453"/>
    </row>
    <row r="13" spans="1:4" ht="63" x14ac:dyDescent="0.3">
      <c r="B13" s="452"/>
      <c r="C13" s="459" t="s">
        <v>462</v>
      </c>
      <c r="D13" s="453"/>
    </row>
    <row r="14" spans="1:4" x14ac:dyDescent="0.3">
      <c r="B14" s="452"/>
      <c r="D14" s="453"/>
    </row>
    <row r="15" spans="1:4" ht="40.950000000000003" customHeight="1" x14ac:dyDescent="0.4">
      <c r="B15" s="452"/>
      <c r="C15" s="466" t="s">
        <v>463</v>
      </c>
      <c r="D15" s="453"/>
    </row>
    <row r="16" spans="1:4" x14ac:dyDescent="0.3">
      <c r="B16" s="452"/>
      <c r="D16" s="453"/>
    </row>
    <row r="17" spans="2:4" ht="28.8" x14ac:dyDescent="0.55000000000000004">
      <c r="B17" s="452"/>
      <c r="C17" s="460" t="s">
        <v>418</v>
      </c>
      <c r="D17" s="453"/>
    </row>
    <row r="18" spans="2:4" ht="38.25" customHeight="1" x14ac:dyDescent="0.3">
      <c r="B18" s="452"/>
      <c r="C18" s="461" t="s">
        <v>395</v>
      </c>
      <c r="D18" s="453"/>
    </row>
    <row r="19" spans="2:4" ht="36" customHeight="1" x14ac:dyDescent="0.3">
      <c r="B19" s="452"/>
      <c r="C19" s="476" t="s">
        <v>396</v>
      </c>
      <c r="D19" s="453"/>
    </row>
    <row r="20" spans="2:4" ht="15" thickBot="1" x14ac:dyDescent="0.35">
      <c r="B20" s="454"/>
      <c r="C20" s="455"/>
      <c r="D20" s="199"/>
    </row>
    <row r="21" spans="2:4" ht="15" thickTop="1" x14ac:dyDescent="0.3"/>
  </sheetData>
  <sheetProtection sheet="1" objects="1" scenarios="1"/>
  <pageMargins left="0.70866141732283472" right="0.70866141732283472" top="0.74803149606299213" bottom="0.74803149606299213" header="0.31496062992125984" footer="0.31496062992125984"/>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92D050"/>
    <pageSetUpPr fitToPage="1"/>
  </sheetPr>
  <dimension ref="A1:AG1048557"/>
  <sheetViews>
    <sheetView showGridLines="0" zoomScale="85" zoomScaleNormal="85" workbookViewId="0">
      <selection activeCell="O29" sqref="O29"/>
    </sheetView>
  </sheetViews>
  <sheetFormatPr baseColWidth="10" defaultRowHeight="17.25" customHeight="1" x14ac:dyDescent="0.3"/>
  <cols>
    <col min="1" max="1" width="3" customWidth="1"/>
    <col min="2" max="2" width="3.21875" customWidth="1"/>
    <col min="3" max="3" width="8" customWidth="1"/>
    <col min="4" max="4" width="16.44140625" customWidth="1"/>
    <col min="5" max="5" width="34.5546875" customWidth="1"/>
    <col min="6" max="6" width="14" customWidth="1"/>
    <col min="7" max="7" width="7.77734375" customWidth="1"/>
    <col min="8" max="8" width="10.77734375" customWidth="1"/>
    <col min="9" max="9" width="15.21875" customWidth="1"/>
    <col min="10" max="10" width="8.21875" customWidth="1"/>
    <col min="11" max="11" width="4.77734375" customWidth="1"/>
    <col min="12" max="12" width="8.44140625" customWidth="1"/>
    <col min="13" max="13" width="10" customWidth="1"/>
    <col min="14" max="16" width="12" customWidth="1"/>
    <col min="17" max="17" width="11.21875" customWidth="1"/>
    <col min="18" max="18" width="11.77734375" customWidth="1"/>
    <col min="19" max="19" width="10.77734375" customWidth="1"/>
    <col min="20" max="20" width="12.21875" customWidth="1"/>
    <col min="23" max="23" width="14.77734375" bestFit="1" customWidth="1"/>
  </cols>
  <sheetData>
    <row r="1" spans="1:33" ht="12" customHeight="1" thickBot="1" x14ac:dyDescent="0.35">
      <c r="A1" s="26"/>
    </row>
    <row r="2" spans="1:33" ht="17.25" customHeight="1" thickTop="1" x14ac:dyDescent="0.3">
      <c r="B2" s="127"/>
      <c r="C2" s="120"/>
      <c r="D2" s="120"/>
      <c r="E2" s="120"/>
      <c r="F2" s="120"/>
      <c r="G2" s="120"/>
      <c r="H2" s="120"/>
      <c r="I2" s="120"/>
      <c r="J2" s="120"/>
      <c r="K2" s="120"/>
      <c r="L2" s="120"/>
      <c r="M2" s="120"/>
      <c r="N2" s="120"/>
      <c r="O2" s="120"/>
      <c r="P2" s="120"/>
      <c r="Q2" s="120"/>
      <c r="R2" s="120"/>
      <c r="S2" s="120"/>
      <c r="T2" s="121"/>
    </row>
    <row r="3" spans="1:33" ht="31.95" customHeight="1" x14ac:dyDescent="0.7">
      <c r="B3" s="130"/>
      <c r="C3" s="122"/>
      <c r="D3" s="441" t="s">
        <v>405</v>
      </c>
      <c r="E3" s="122"/>
      <c r="F3" s="122"/>
      <c r="G3" s="122"/>
      <c r="H3" s="122"/>
      <c r="I3" s="122"/>
      <c r="J3" s="122"/>
      <c r="K3" s="122"/>
      <c r="L3" s="122"/>
      <c r="M3" s="122"/>
      <c r="N3" s="122"/>
      <c r="O3" s="122"/>
      <c r="P3" s="122"/>
      <c r="Q3" s="122"/>
      <c r="R3" s="122"/>
      <c r="S3" s="122"/>
      <c r="T3" s="123"/>
    </row>
    <row r="4" spans="1:33" ht="17.25" customHeight="1" thickBot="1" x14ac:dyDescent="0.35">
      <c r="B4" s="130"/>
      <c r="C4" s="122"/>
      <c r="D4" s="122"/>
      <c r="E4" s="122"/>
      <c r="F4" s="122"/>
      <c r="G4" s="122"/>
      <c r="H4" s="122"/>
      <c r="I4" s="122"/>
      <c r="J4" s="122"/>
      <c r="K4" s="122"/>
      <c r="L4" s="122"/>
      <c r="M4" s="122"/>
      <c r="N4" s="122"/>
      <c r="O4" s="122"/>
      <c r="P4" s="122"/>
      <c r="Q4" s="122"/>
      <c r="R4" s="122"/>
      <c r="S4" s="122"/>
      <c r="T4" s="123"/>
    </row>
    <row r="5" spans="1:33" ht="17.25" customHeight="1" thickTop="1" thickBot="1" x14ac:dyDescent="0.35">
      <c r="B5" s="130"/>
      <c r="C5" s="122"/>
      <c r="D5" s="551">
        <v>45823</v>
      </c>
      <c r="E5" s="432" t="str">
        <f>IF(ISNUMBER(Date_retraite),"Date de prise de la retraite (AAAA-MM-JJ)","Inscrire une date de prise de la retraite valide")</f>
        <v>Date de prise de la retraite (AAAA-MM-JJ)</v>
      </c>
      <c r="F5" s="122"/>
      <c r="G5" s="122"/>
      <c r="H5" s="122"/>
      <c r="I5" s="129"/>
      <c r="J5" s="122"/>
      <c r="K5" s="122"/>
      <c r="L5" s="122"/>
      <c r="M5" s="122"/>
      <c r="N5" s="122"/>
      <c r="O5" s="122"/>
      <c r="P5" s="122"/>
      <c r="Q5" s="122"/>
      <c r="R5" s="122"/>
      <c r="S5" s="122"/>
      <c r="T5" s="123"/>
      <c r="W5" s="119"/>
    </row>
    <row r="6" spans="1:33" ht="17.25" customHeight="1" thickTop="1" thickBot="1" x14ac:dyDescent="0.35">
      <c r="B6" s="130"/>
      <c r="C6" s="122"/>
      <c r="D6" s="549">
        <f>WORKDAY(Date_retraite,-1)</f>
        <v>45821</v>
      </c>
      <c r="E6" s="432" t="s">
        <v>457</v>
      </c>
      <c r="F6" s="122"/>
      <c r="G6" s="122"/>
      <c r="H6" s="122"/>
      <c r="I6" s="129"/>
      <c r="J6" s="122"/>
      <c r="K6" s="122"/>
      <c r="L6" s="122"/>
      <c r="M6" s="122"/>
      <c r="N6" s="122"/>
      <c r="O6" s="122"/>
      <c r="P6" s="122"/>
      <c r="Q6" s="122"/>
      <c r="R6" s="122"/>
      <c r="S6" s="122"/>
      <c r="T6" s="123"/>
      <c r="W6" s="119"/>
    </row>
    <row r="7" spans="1:33" ht="17.25" customHeight="1" thickTop="1" thickBot="1" x14ac:dyDescent="0.35">
      <c r="B7" s="130"/>
      <c r="C7" s="122"/>
      <c r="D7" s="552">
        <v>17</v>
      </c>
      <c r="E7" s="432" t="s">
        <v>456</v>
      </c>
      <c r="F7" s="122"/>
      <c r="G7" s="122"/>
      <c r="H7" s="122"/>
      <c r="I7" s="129"/>
      <c r="J7" s="122"/>
      <c r="K7" s="122"/>
      <c r="L7" s="122"/>
      <c r="M7" s="122"/>
      <c r="N7" s="122"/>
      <c r="O7" s="122"/>
      <c r="P7" s="122"/>
      <c r="Q7" s="122"/>
      <c r="R7" s="122"/>
      <c r="S7" s="122"/>
      <c r="T7" s="123"/>
      <c r="W7" s="119"/>
    </row>
    <row r="8" spans="1:33" ht="17.25" customHeight="1" thickTop="1" thickBot="1" x14ac:dyDescent="0.35">
      <c r="B8" s="130"/>
      <c r="C8" s="122"/>
      <c r="D8" s="122"/>
      <c r="E8" s="122"/>
      <c r="F8" s="122"/>
      <c r="G8" s="122"/>
      <c r="H8" s="122"/>
      <c r="I8" s="129"/>
      <c r="J8" s="122"/>
      <c r="K8" s="122"/>
      <c r="L8" s="122"/>
      <c r="M8" s="122"/>
      <c r="N8" s="122"/>
      <c r="O8" s="122"/>
      <c r="P8" s="122"/>
      <c r="Q8" s="122"/>
      <c r="R8" s="122"/>
      <c r="S8" s="122"/>
      <c r="T8" s="123"/>
      <c r="W8" s="119"/>
      <c r="AG8" s="6"/>
    </row>
    <row r="9" spans="1:33" ht="17.25" customHeight="1" thickTop="1" thickBot="1" x14ac:dyDescent="0.35">
      <c r="B9" s="130"/>
      <c r="C9" s="122"/>
      <c r="D9" s="553">
        <v>23136</v>
      </c>
      <c r="E9" s="432" t="s">
        <v>22</v>
      </c>
      <c r="F9" s="122"/>
      <c r="G9" s="122"/>
      <c r="H9" s="122"/>
      <c r="I9" s="122"/>
      <c r="J9" s="122"/>
      <c r="K9" s="122"/>
      <c r="L9" s="122"/>
      <c r="M9" s="122"/>
      <c r="N9" s="122"/>
      <c r="O9" s="122"/>
      <c r="P9" s="122"/>
      <c r="Q9" s="122"/>
      <c r="R9" s="122"/>
      <c r="S9" s="122"/>
      <c r="T9" s="123"/>
      <c r="V9" s="3"/>
      <c r="W9" s="119"/>
      <c r="AG9" s="6"/>
    </row>
    <row r="10" spans="1:33" ht="3.75" customHeight="1" thickTop="1" x14ac:dyDescent="0.3">
      <c r="B10" s="130"/>
      <c r="C10" s="122"/>
      <c r="D10" s="470"/>
      <c r="E10" s="432"/>
      <c r="F10" s="122"/>
      <c r="G10" s="122"/>
      <c r="H10" s="122"/>
      <c r="I10" s="122"/>
      <c r="J10" s="122"/>
      <c r="K10" s="122"/>
      <c r="L10" s="122"/>
      <c r="M10" s="122"/>
      <c r="N10" s="122"/>
      <c r="O10" s="122"/>
      <c r="P10" s="122"/>
      <c r="Q10" s="122"/>
      <c r="R10" s="122"/>
      <c r="S10" s="122"/>
      <c r="T10" s="123"/>
      <c r="V10" s="3"/>
      <c r="W10" s="119"/>
      <c r="AG10" s="6"/>
    </row>
    <row r="11" spans="1:33" ht="17.25" customHeight="1" x14ac:dyDescent="0.35">
      <c r="B11" s="130"/>
      <c r="C11" s="122"/>
      <c r="D11" s="469" t="str">
        <f>IF(ISNUMBER(Date_retraite),"Vous aurez "&amp;D41&amp;" ans et "&amp;D42&amp;" mois lors de la prise de retraite le "&amp;CHOOSE(WEEKDAY(Date_retraite),"dimanche","lundi","mardi","mercredi","jeudi","vendredi","samedi")&amp;" "&amp;DAY(Date_retraite)&amp;" "&amp;CHOOSE(MONTH(Date_retraite),"janvier","février","mars","avril","mai","juin","juillet","août","septembre","octobre","novembre","décembre")&amp;" "&amp;YEAR(Date_retraite),"Inscrire une date de prise de la retraite valide")</f>
        <v>Vous aurez 62 ans et 1 mois lors de la prise de retraite le dimanche 15 juin 2025</v>
      </c>
      <c r="E11" s="124"/>
      <c r="F11" s="122"/>
      <c r="G11" s="122"/>
      <c r="H11" s="122"/>
      <c r="I11" s="122"/>
      <c r="J11" s="122"/>
      <c r="K11" s="122"/>
      <c r="L11" s="122"/>
      <c r="M11" s="122"/>
      <c r="N11" s="122"/>
      <c r="O11" s="122"/>
      <c r="P11" s="122"/>
      <c r="Q11" s="122"/>
      <c r="R11" s="122"/>
      <c r="S11" s="122"/>
      <c r="T11" s="123"/>
      <c r="V11" s="3"/>
      <c r="W11" s="119"/>
      <c r="AG11" s="6"/>
    </row>
    <row r="12" spans="1:33" ht="9" customHeight="1" x14ac:dyDescent="0.3">
      <c r="B12" s="130"/>
      <c r="C12" s="122"/>
      <c r="D12" s="431"/>
      <c r="E12" s="124"/>
      <c r="F12" s="122"/>
      <c r="G12" s="122"/>
      <c r="H12" s="122"/>
      <c r="I12" s="122"/>
      <c r="J12" s="122"/>
      <c r="K12" s="122"/>
      <c r="L12" s="122"/>
      <c r="M12" s="122"/>
      <c r="N12" s="122"/>
      <c r="O12" s="122"/>
      <c r="P12" s="122"/>
      <c r="Q12" s="122"/>
      <c r="R12" s="122"/>
      <c r="S12" s="122"/>
      <c r="T12" s="123"/>
      <c r="V12" s="3"/>
      <c r="W12" s="119"/>
      <c r="AG12" s="6"/>
    </row>
    <row r="13" spans="1:33" ht="17.25" customHeight="1" thickBot="1" x14ac:dyDescent="0.35">
      <c r="B13" s="130"/>
      <c r="C13" s="131"/>
      <c r="D13" s="122"/>
      <c r="E13" s="122"/>
      <c r="F13" s="122"/>
      <c r="G13" s="122"/>
      <c r="H13" s="122"/>
      <c r="I13" s="122"/>
      <c r="J13" s="122"/>
      <c r="K13" s="122"/>
      <c r="L13" s="122"/>
      <c r="M13" s="122"/>
      <c r="N13" s="122"/>
      <c r="O13" s="122"/>
      <c r="P13" s="122"/>
      <c r="Q13" s="122"/>
      <c r="R13" s="122"/>
      <c r="S13" s="122"/>
      <c r="T13" s="123"/>
      <c r="V13" s="3"/>
      <c r="W13" s="119"/>
      <c r="AG13" s="6"/>
    </row>
    <row r="14" spans="1:33" ht="17.25" customHeight="1" thickTop="1" thickBot="1" x14ac:dyDescent="0.35">
      <c r="B14" s="130"/>
      <c r="C14" s="131"/>
      <c r="D14" s="554">
        <v>44926</v>
      </c>
      <c r="E14" s="433" t="s">
        <v>66</v>
      </c>
      <c r="F14" s="128"/>
      <c r="G14" s="122"/>
      <c r="H14" s="122"/>
      <c r="I14" s="122"/>
      <c r="J14" s="122"/>
      <c r="K14" s="122"/>
      <c r="L14" s="122"/>
      <c r="M14" s="473"/>
      <c r="N14" s="473"/>
      <c r="O14" s="122"/>
      <c r="P14" s="122"/>
      <c r="Q14" s="122"/>
      <c r="R14" s="122"/>
      <c r="S14" s="122"/>
      <c r="T14" s="123"/>
      <c r="W14" s="119"/>
      <c r="AG14" s="6"/>
    </row>
    <row r="15" spans="1:33" ht="17.25" customHeight="1" thickTop="1" thickBot="1" x14ac:dyDescent="0.35">
      <c r="B15" s="130"/>
      <c r="C15" s="131"/>
      <c r="D15" s="555">
        <v>25</v>
      </c>
      <c r="E15" s="433" t="s">
        <v>67</v>
      </c>
      <c r="F15" s="122"/>
      <c r="G15" s="122"/>
      <c r="H15" s="122"/>
      <c r="I15" s="122"/>
      <c r="J15" s="122"/>
      <c r="K15" s="122"/>
      <c r="L15" s="122"/>
      <c r="M15" s="473"/>
      <c r="N15" s="474"/>
      <c r="O15" s="122"/>
      <c r="P15" s="122"/>
      <c r="Q15" s="122"/>
      <c r="R15" s="122"/>
      <c r="S15" s="122"/>
      <c r="T15" s="123"/>
      <c r="AG15" s="6"/>
    </row>
    <row r="16" spans="1:33" ht="17.25" customHeight="1" thickTop="1" thickBot="1" x14ac:dyDescent="0.35">
      <c r="B16" s="130"/>
      <c r="C16" s="122"/>
      <c r="D16" s="555">
        <v>25</v>
      </c>
      <c r="E16" s="433" t="s">
        <v>420</v>
      </c>
      <c r="F16" s="122"/>
      <c r="G16" s="122"/>
      <c r="H16" s="122"/>
      <c r="I16" s="122"/>
      <c r="J16" s="122"/>
      <c r="K16" s="122"/>
      <c r="L16" s="122"/>
      <c r="M16" s="122"/>
      <c r="N16" s="122"/>
      <c r="O16" s="122"/>
      <c r="P16" s="122"/>
      <c r="Q16" s="122"/>
      <c r="R16" s="122"/>
      <c r="S16" s="122"/>
      <c r="T16" s="123"/>
      <c r="AG16" s="6"/>
    </row>
    <row r="17" spans="2:33" ht="17.25" customHeight="1" thickTop="1" thickBot="1" x14ac:dyDescent="0.35">
      <c r="B17" s="130"/>
      <c r="C17" s="132" t="s">
        <v>23</v>
      </c>
      <c r="D17" s="122"/>
      <c r="E17" s="122"/>
      <c r="F17" s="122"/>
      <c r="G17" s="122"/>
      <c r="H17" s="122"/>
      <c r="I17" s="122"/>
      <c r="J17" s="122"/>
      <c r="K17" s="122"/>
      <c r="L17" s="122"/>
      <c r="M17" s="134">
        <v>1</v>
      </c>
      <c r="N17" s="556"/>
      <c r="O17" s="122"/>
      <c r="P17" s="122"/>
      <c r="Q17" s="122"/>
      <c r="R17" s="122"/>
      <c r="S17" s="122"/>
      <c r="T17" s="123"/>
      <c r="AG17" s="6"/>
    </row>
    <row r="18" spans="2:33" ht="17.25" customHeight="1" thickTop="1" thickBot="1" x14ac:dyDescent="0.35">
      <c r="B18" s="130"/>
      <c r="C18" s="571"/>
      <c r="D18" s="467">
        <f>IF(C18="",ROUND((((Date_retraite-D14)/365.25)+D15),4),C18)</f>
        <v>27.4559</v>
      </c>
      <c r="E18" s="124" t="s">
        <v>21</v>
      </c>
      <c r="F18" s="122"/>
      <c r="G18" s="122"/>
      <c r="H18" s="122"/>
      <c r="I18" s="122"/>
      <c r="J18" s="122"/>
      <c r="K18" s="122"/>
      <c r="L18" s="124"/>
      <c r="M18" s="134">
        <v>2</v>
      </c>
      <c r="N18" s="557"/>
      <c r="O18" s="122"/>
      <c r="P18" s="122"/>
      <c r="Q18" s="122"/>
      <c r="R18" s="122"/>
      <c r="S18" s="122"/>
      <c r="T18" s="123"/>
      <c r="AG18" s="6"/>
    </row>
    <row r="19" spans="2:33" ht="17.25" customHeight="1" thickTop="1" thickBot="1" x14ac:dyDescent="0.35">
      <c r="B19" s="130"/>
      <c r="C19" s="571"/>
      <c r="D19" s="467">
        <f>IF(C19&gt;=40,40,IF(C19="",IF(ROUND((((Date_retraite-D14)/365.25)+D16),4)&gt;=40,40,ROUND((((Date_retraite-D14)/365.25)+D16),4)),C19))</f>
        <v>27.4559</v>
      </c>
      <c r="E19" s="133" t="s">
        <v>20</v>
      </c>
      <c r="F19" s="122"/>
      <c r="G19" s="135"/>
      <c r="H19" s="135"/>
      <c r="I19" s="122"/>
      <c r="J19" s="122"/>
      <c r="K19" s="122"/>
      <c r="L19" s="124"/>
      <c r="M19" s="134">
        <v>3</v>
      </c>
      <c r="N19" s="557"/>
      <c r="O19" s="122"/>
      <c r="P19" s="122"/>
      <c r="Q19" s="122"/>
      <c r="R19" s="122"/>
      <c r="S19" s="122"/>
      <c r="T19" s="123"/>
      <c r="AG19" s="6"/>
    </row>
    <row r="20" spans="2:33" ht="17.25" customHeight="1" thickTop="1" thickBot="1" x14ac:dyDescent="0.35">
      <c r="B20" s="130"/>
      <c r="C20" s="122"/>
      <c r="D20" s="122"/>
      <c r="E20" s="122"/>
      <c r="F20" s="122"/>
      <c r="G20" s="135"/>
      <c r="H20" s="135"/>
      <c r="I20" s="129"/>
      <c r="J20" s="122"/>
      <c r="K20" s="122"/>
      <c r="L20" s="124"/>
      <c r="M20" s="134">
        <v>4</v>
      </c>
      <c r="N20" s="557"/>
      <c r="O20" s="122"/>
      <c r="P20" s="122"/>
      <c r="Q20" s="122"/>
      <c r="R20" s="122"/>
      <c r="S20" s="122"/>
      <c r="T20" s="123"/>
      <c r="AG20" s="6"/>
    </row>
    <row r="21" spans="2:33" ht="17.25" customHeight="1" thickTop="1" thickBot="1" x14ac:dyDescent="0.35">
      <c r="B21" s="130"/>
      <c r="C21" s="122"/>
      <c r="D21" s="478">
        <f>IF(OR(Age_Ret&gt;=55,Admissibilite&gt;=35),IF(Services_calcul&gt;=40,40*2%,Services_calcul*2%),0)</f>
        <v>0.54911799999999999</v>
      </c>
      <c r="E21" s="124" t="s">
        <v>401</v>
      </c>
      <c r="F21" s="122"/>
      <c r="G21" s="122"/>
      <c r="H21" s="122"/>
      <c r="I21" s="122"/>
      <c r="J21" s="124"/>
      <c r="K21" s="122"/>
      <c r="L21" s="124"/>
      <c r="M21" s="134">
        <v>5</v>
      </c>
      <c r="N21" s="558"/>
      <c r="O21" s="122"/>
      <c r="P21" s="122"/>
      <c r="Q21" s="477"/>
      <c r="R21" s="477"/>
      <c r="S21" s="122"/>
      <c r="T21" s="123"/>
      <c r="AG21" s="6"/>
    </row>
    <row r="22" spans="2:33" ht="17.25" customHeight="1" thickTop="1" thickBot="1" x14ac:dyDescent="0.35">
      <c r="B22" s="130"/>
      <c r="C22" s="122"/>
      <c r="D22" s="550">
        <f>IF(I42="non",0,IF(Moyenne_manuelle="",Moyenne_automatique,Moyenne_manuelle))</f>
        <v>94234.195753424661</v>
      </c>
      <c r="E22" s="133" t="s">
        <v>427</v>
      </c>
      <c r="F22" s="122"/>
      <c r="G22" s="122"/>
      <c r="H22" s="122"/>
      <c r="I22" s="122"/>
      <c r="J22" s="124"/>
      <c r="K22" s="122"/>
      <c r="L22" s="124"/>
      <c r="M22" s="134" t="s">
        <v>7</v>
      </c>
      <c r="N22" s="547" t="str">
        <f>IF(SUM(N17:N21)&gt;5,SUM(N17:N21)/5,"")</f>
        <v/>
      </c>
      <c r="O22" s="122"/>
      <c r="P22" s="122"/>
      <c r="Q22" s="477"/>
      <c r="R22" s="477"/>
      <c r="S22" s="122"/>
      <c r="T22" s="123"/>
      <c r="AG22" s="6"/>
    </row>
    <row r="23" spans="2:33" ht="17.25" customHeight="1" thickTop="1" thickBot="1" x14ac:dyDescent="0.35">
      <c r="B23" s="130"/>
      <c r="C23" s="122"/>
      <c r="D23" s="122"/>
      <c r="E23" s="124"/>
      <c r="F23" s="122"/>
      <c r="G23" s="122"/>
      <c r="H23" s="122"/>
      <c r="I23" s="122"/>
      <c r="J23" s="124"/>
      <c r="K23" s="122"/>
      <c r="L23" s="122"/>
      <c r="M23" s="122"/>
      <c r="N23" s="122"/>
      <c r="O23" s="122"/>
      <c r="P23" s="122"/>
      <c r="Q23" s="122"/>
      <c r="R23" s="122"/>
      <c r="S23" s="122"/>
      <c r="T23" s="123"/>
      <c r="AG23" s="6"/>
    </row>
    <row r="24" spans="2:33" ht="17.25" customHeight="1" thickTop="1" thickBot="1" x14ac:dyDescent="0.35">
      <c r="B24" s="130"/>
      <c r="C24" s="122"/>
      <c r="D24" s="479">
        <f>IF(OR(Age_Ret&gt;=55,Admissibilite&gt;=35),IF(Services_calcul&gt;=40,40*2%*Moyenne_salariale,Services_calcul*2%*Moyenne_salariale),0)</f>
        <v>51745.693103729041</v>
      </c>
      <c r="E24" s="438" t="str">
        <f>IF(Admissible_Oui_ou_Non="Non","Vous n'êtes pas admissible",IF(D26&gt;0,"Estimation de la rente sans réduction","Estimation de la rente"))</f>
        <v>Estimation de la rente</v>
      </c>
      <c r="F24" s="122"/>
      <c r="G24" s="122"/>
      <c r="H24" s="122"/>
      <c r="I24" s="122"/>
      <c r="J24" s="122"/>
      <c r="K24" s="122"/>
      <c r="L24" s="572" t="s">
        <v>421</v>
      </c>
      <c r="M24" s="573"/>
      <c r="N24" s="573"/>
      <c r="O24" s="573"/>
      <c r="P24" s="573"/>
      <c r="Q24" s="573"/>
      <c r="R24" s="573"/>
      <c r="S24" s="574"/>
      <c r="T24" s="123"/>
      <c r="AG24" s="6"/>
    </row>
    <row r="25" spans="2:33" ht="17.25" customHeight="1" thickTop="1" thickBot="1" x14ac:dyDescent="0.35">
      <c r="B25" s="130"/>
      <c r="C25" s="122"/>
      <c r="D25" s="122"/>
      <c r="E25" s="124"/>
      <c r="F25" s="122"/>
      <c r="G25" s="122"/>
      <c r="H25" s="136"/>
      <c r="I25" s="122"/>
      <c r="J25" s="122"/>
      <c r="K25" s="475"/>
      <c r="L25" s="114" t="s">
        <v>1</v>
      </c>
      <c r="M25" s="115" t="s">
        <v>31</v>
      </c>
      <c r="N25" s="117" t="s">
        <v>63</v>
      </c>
      <c r="O25" s="118" t="s">
        <v>62</v>
      </c>
      <c r="P25" s="118" t="s">
        <v>453</v>
      </c>
      <c r="Q25" s="117" t="s">
        <v>424</v>
      </c>
      <c r="R25" s="535" t="s">
        <v>454</v>
      </c>
      <c r="S25" s="116" t="s">
        <v>426</v>
      </c>
      <c r="T25" s="123"/>
      <c r="AG25" s="6"/>
    </row>
    <row r="26" spans="2:33" ht="17.25" customHeight="1" thickTop="1" thickBot="1" x14ac:dyDescent="0.35">
      <c r="B26" s="130"/>
      <c r="C26" s="122"/>
      <c r="D26" s="112">
        <f>Critère_retenu</f>
        <v>0</v>
      </c>
      <c r="E26" s="124" t="s">
        <v>398</v>
      </c>
      <c r="F26" s="122"/>
      <c r="G26" s="122"/>
      <c r="H26" s="122"/>
      <c r="I26" s="122"/>
      <c r="J26" s="124"/>
      <c r="K26" s="124">
        <v>6</v>
      </c>
      <c r="L26" s="559">
        <f>D$7</f>
        <v>17</v>
      </c>
      <c r="M26" s="485">
        <f>DATE(YEAR(D6)-5,1,1)</f>
        <v>43831</v>
      </c>
      <c r="N26" s="536">
        <f t="shared" ref="N26:N31" si="0">VLOOKUP(L26,Salaire_10_20,HLOOKUP(("1 janvier "&amp;YEAR(M26))*1,Date_salaire_colonne,2,TRUE),FALSE)</f>
        <v>86713</v>
      </c>
      <c r="O26" s="537">
        <f t="shared" ref="O26:O31" si="1">VLOOKUP(L26,Salaire_10_20,HLOOKUP(("2 avril "&amp;YEAR(M26))*1,Date_salaire_colonne,2,TRUE))</f>
        <v>88448</v>
      </c>
      <c r="P26" s="537">
        <f>N26/12*3+O26/12*9</f>
        <v>88014.25</v>
      </c>
      <c r="Q26" s="482">
        <f>1-Q31</f>
        <v>0.55068493150684938</v>
      </c>
      <c r="R26" s="544">
        <f>P26</f>
        <v>88014.25</v>
      </c>
      <c r="S26" s="541">
        <f>P26*Q26</f>
        <v>48468.121232876721</v>
      </c>
      <c r="T26" s="123"/>
    </row>
    <row r="27" spans="2:33" ht="17.25" customHeight="1" thickTop="1" thickBot="1" x14ac:dyDescent="0.35">
      <c r="B27" s="130"/>
      <c r="C27" s="122"/>
      <c r="D27" s="122"/>
      <c r="E27" s="124"/>
      <c r="F27" s="122"/>
      <c r="G27" s="122"/>
      <c r="H27" s="129"/>
      <c r="I27" s="122"/>
      <c r="J27" s="124"/>
      <c r="K27" s="124">
        <v>5</v>
      </c>
      <c r="L27" s="559">
        <f t="shared" ref="L27:L31" si="2">D$7</f>
        <v>17</v>
      </c>
      <c r="M27" s="486">
        <f>DATE(YEAR(D6)-4,1,1)</f>
        <v>44197</v>
      </c>
      <c r="N27" s="536">
        <f t="shared" si="0"/>
        <v>88448</v>
      </c>
      <c r="O27" s="537">
        <f t="shared" si="1"/>
        <v>90219</v>
      </c>
      <c r="P27" s="538">
        <f>N27/12*3+O27/12*9</f>
        <v>89776.25</v>
      </c>
      <c r="Q27" s="483">
        <v>1</v>
      </c>
      <c r="R27" s="544">
        <f t="shared" ref="R27:R30" si="3">P27</f>
        <v>89776.25</v>
      </c>
      <c r="S27" s="542">
        <f t="shared" ref="S27:S30" si="4">P27*Q27</f>
        <v>89776.25</v>
      </c>
      <c r="T27" s="123"/>
    </row>
    <row r="28" spans="2:33" ht="17.25" customHeight="1" thickTop="1" thickBot="1" x14ac:dyDescent="0.35">
      <c r="B28" s="130"/>
      <c r="C28" s="122"/>
      <c r="D28" s="113">
        <f>D26*0.5/100</f>
        <v>0</v>
      </c>
      <c r="E28" s="124" t="s">
        <v>397</v>
      </c>
      <c r="F28" s="137"/>
      <c r="G28" s="122"/>
      <c r="H28" s="122"/>
      <c r="I28" s="122"/>
      <c r="J28" s="124"/>
      <c r="K28" s="124">
        <v>4</v>
      </c>
      <c r="L28" s="559">
        <f t="shared" si="2"/>
        <v>17</v>
      </c>
      <c r="M28" s="486">
        <f>DATE(YEAR(D6)-3,1,1)</f>
        <v>44562</v>
      </c>
      <c r="N28" s="536">
        <f t="shared" si="0"/>
        <v>90219</v>
      </c>
      <c r="O28" s="537">
        <f t="shared" si="1"/>
        <v>92027</v>
      </c>
      <c r="P28" s="538">
        <f t="shared" ref="P28:P30" si="5">N28/12*3+O28/12*9</f>
        <v>91575</v>
      </c>
      <c r="Q28" s="483">
        <v>1</v>
      </c>
      <c r="R28" s="544">
        <f t="shared" si="3"/>
        <v>91575</v>
      </c>
      <c r="S28" s="542">
        <f t="shared" si="4"/>
        <v>91575</v>
      </c>
      <c r="T28" s="123"/>
    </row>
    <row r="29" spans="2:33" ht="17.25" customHeight="1" thickTop="1" thickBot="1" x14ac:dyDescent="0.35">
      <c r="B29" s="130"/>
      <c r="C29" s="122"/>
      <c r="D29" s="122"/>
      <c r="E29" s="124"/>
      <c r="F29" s="122"/>
      <c r="G29" s="137"/>
      <c r="H29" s="122"/>
      <c r="I29" s="122"/>
      <c r="J29" s="124"/>
      <c r="K29" s="124">
        <v>3</v>
      </c>
      <c r="L29" s="559">
        <f t="shared" si="2"/>
        <v>17</v>
      </c>
      <c r="M29" s="486">
        <f>DATE(YEAR(D6)-2,1,1)</f>
        <v>44927</v>
      </c>
      <c r="N29" s="536">
        <f t="shared" si="0"/>
        <v>92027</v>
      </c>
      <c r="O29" s="537">
        <f t="shared" si="1"/>
        <v>97549</v>
      </c>
      <c r="P29" s="538">
        <f t="shared" si="5"/>
        <v>96168.5</v>
      </c>
      <c r="Q29" s="483">
        <v>1</v>
      </c>
      <c r="R29" s="544">
        <f t="shared" si="3"/>
        <v>96168.5</v>
      </c>
      <c r="S29" s="542">
        <f t="shared" si="4"/>
        <v>96168.5</v>
      </c>
      <c r="T29" s="123"/>
    </row>
    <row r="30" spans="2:33" ht="17.25" customHeight="1" thickTop="1" thickBot="1" x14ac:dyDescent="0.35">
      <c r="B30" s="130"/>
      <c r="C30" s="122"/>
      <c r="D30" s="437">
        <f>Estimation_sans_réduction-Estimation_sans_réduction*(1-Reduction)</f>
        <v>0</v>
      </c>
      <c r="E30" s="124" t="s">
        <v>399</v>
      </c>
      <c r="F30" s="122"/>
      <c r="G30" s="137"/>
      <c r="H30" s="122"/>
      <c r="I30" s="122"/>
      <c r="J30" s="124"/>
      <c r="K30" s="124">
        <v>2</v>
      </c>
      <c r="L30" s="559">
        <f t="shared" si="2"/>
        <v>17</v>
      </c>
      <c r="M30" s="486">
        <f>DATE(YEAR(D6)-1,1,1)</f>
        <v>45292</v>
      </c>
      <c r="N30" s="536">
        <f t="shared" si="0"/>
        <v>97549</v>
      </c>
      <c r="O30" s="537">
        <f t="shared" si="1"/>
        <v>100280</v>
      </c>
      <c r="P30" s="538">
        <f t="shared" si="5"/>
        <v>99597.25</v>
      </c>
      <c r="Q30" s="483">
        <v>1</v>
      </c>
      <c r="R30" s="544">
        <f t="shared" si="3"/>
        <v>99597.25</v>
      </c>
      <c r="S30" s="542">
        <f t="shared" si="4"/>
        <v>99597.25</v>
      </c>
      <c r="T30" s="123"/>
    </row>
    <row r="31" spans="2:33" ht="17.25" customHeight="1" thickTop="1" thickBot="1" x14ac:dyDescent="0.35">
      <c r="B31" s="130"/>
      <c r="C31" s="122"/>
      <c r="D31" s="122"/>
      <c r="E31" s="124"/>
      <c r="F31" s="122"/>
      <c r="G31" s="122"/>
      <c r="H31" s="122"/>
      <c r="I31" s="122"/>
      <c r="J31" s="124"/>
      <c r="K31" s="124">
        <v>1</v>
      </c>
      <c r="L31" s="560">
        <f t="shared" si="2"/>
        <v>17</v>
      </c>
      <c r="M31" s="487">
        <f>DATE(YEAR(D6),1,1)</f>
        <v>45658</v>
      </c>
      <c r="N31" s="539">
        <f t="shared" si="0"/>
        <v>100280</v>
      </c>
      <c r="O31" s="540">
        <f t="shared" si="1"/>
        <v>102887</v>
      </c>
      <c r="P31" s="540">
        <f>IF(D46&lt;91,N31/365*D46,90*N31/365+(D46-90)*O31/365)</f>
        <v>45585.857534246577</v>
      </c>
      <c r="Q31" s="484">
        <f>MIN(1,(Date_dernier-DATE(YEAR(Date_dernier),1,0))/365)</f>
        <v>0.44931506849315067</v>
      </c>
      <c r="R31" s="545">
        <f>P31/Q31</f>
        <v>101456.32926829268</v>
      </c>
      <c r="S31" s="543">
        <f>R31*Q31</f>
        <v>45585.857534246577</v>
      </c>
      <c r="T31" s="123"/>
    </row>
    <row r="32" spans="2:33" ht="17.25" customHeight="1" thickTop="1" thickBot="1" x14ac:dyDescent="0.35">
      <c r="B32" s="130"/>
      <c r="C32" s="122"/>
      <c r="D32" s="450">
        <f>ROUNDDOWN(Estimation_sans_réduction-Reduction_en_dollars,-2)</f>
        <v>51700</v>
      </c>
      <c r="E32" s="435" t="str">
        <f>IF(Admissible_Oui_ou_Non="non","Vous n'êtes pas admissible","Estimation de la rente arrondie au premier 100 $")</f>
        <v>Estimation de la rente arrondie au premier 100 $</v>
      </c>
      <c r="F32" s="436"/>
      <c r="G32" s="436"/>
      <c r="H32" s="436"/>
      <c r="I32" s="122"/>
      <c r="J32" s="122"/>
      <c r="K32" s="122"/>
      <c r="L32" s="122"/>
      <c r="M32" s="122"/>
      <c r="N32" s="139"/>
      <c r="O32" s="140"/>
      <c r="P32" s="481"/>
      <c r="Q32" s="480"/>
      <c r="R32" s="480" t="s">
        <v>425</v>
      </c>
      <c r="S32" s="546">
        <f>SUM(S26:S31)/5</f>
        <v>94234.195753424661</v>
      </c>
      <c r="T32" s="123"/>
    </row>
    <row r="33" spans="2:20" ht="17.25" customHeight="1" thickTop="1" x14ac:dyDescent="0.3">
      <c r="B33" s="130"/>
      <c r="C33" s="122"/>
      <c r="D33" s="122"/>
      <c r="E33" s="468" t="s">
        <v>422</v>
      </c>
      <c r="F33" s="122"/>
      <c r="G33" s="122"/>
      <c r="H33" s="122"/>
      <c r="I33" s="122"/>
      <c r="J33" s="122"/>
      <c r="K33" s="122"/>
      <c r="L33" s="122"/>
      <c r="M33" s="122"/>
      <c r="N33" s="122"/>
      <c r="O33" s="122"/>
      <c r="P33" s="122"/>
      <c r="Q33" s="122"/>
      <c r="R33" s="122"/>
      <c r="S33" s="122"/>
      <c r="T33" s="123"/>
    </row>
    <row r="34" spans="2:20" ht="17.25" customHeight="1" thickBot="1" x14ac:dyDescent="0.35">
      <c r="B34" s="130"/>
      <c r="C34" s="122"/>
      <c r="D34" s="122"/>
      <c r="E34" s="122"/>
      <c r="F34" s="122"/>
      <c r="G34" s="122"/>
      <c r="H34" s="122"/>
      <c r="I34" s="122"/>
      <c r="J34" s="122"/>
      <c r="K34" s="122"/>
      <c r="L34" s="122"/>
      <c r="M34" s="122"/>
      <c r="N34" s="122"/>
      <c r="O34" s="122"/>
      <c r="P34" s="122"/>
      <c r="Q34" s="122"/>
      <c r="R34" s="122"/>
      <c r="S34" s="122"/>
      <c r="T34" s="123"/>
    </row>
    <row r="35" spans="2:20" ht="17.25" customHeight="1" thickTop="1" thickBot="1" x14ac:dyDescent="0.35">
      <c r="B35" s="130"/>
      <c r="C35" s="122"/>
      <c r="D35" s="111">
        <f>IF(Moyenne_salariale=0,0,Estimation/Moyenne_salariale)</f>
        <v>0.54863311122513736</v>
      </c>
      <c r="E35" s="124" t="s">
        <v>400</v>
      </c>
      <c r="F35" s="122"/>
      <c r="G35" s="122"/>
      <c r="H35" s="122"/>
      <c r="I35" s="122"/>
      <c r="J35" s="122"/>
      <c r="K35" s="122"/>
      <c r="L35" s="122"/>
      <c r="M35" s="122"/>
      <c r="N35" s="122"/>
      <c r="O35" s="122"/>
      <c r="P35" s="122"/>
      <c r="Q35" s="122"/>
      <c r="R35" s="122"/>
      <c r="S35" s="122"/>
      <c r="T35" s="123"/>
    </row>
    <row r="36" spans="2:20" ht="17.25" customHeight="1" thickTop="1" x14ac:dyDescent="0.3">
      <c r="B36" s="130"/>
      <c r="C36" s="122"/>
      <c r="D36" s="122"/>
      <c r="E36" s="122"/>
      <c r="F36" s="122"/>
      <c r="G36" s="122"/>
      <c r="H36" s="122"/>
      <c r="I36" s="122"/>
      <c r="J36" s="122"/>
      <c r="K36" s="122"/>
      <c r="L36" s="122"/>
      <c r="M36" s="122"/>
      <c r="N36" s="122"/>
      <c r="O36" s="122"/>
      <c r="P36" s="122"/>
      <c r="Q36" s="122"/>
      <c r="R36" s="122"/>
      <c r="S36" s="122"/>
      <c r="T36" s="123"/>
    </row>
    <row r="37" spans="2:20" ht="17.25" customHeight="1" x14ac:dyDescent="0.3">
      <c r="B37" s="130"/>
      <c r="C37" s="122"/>
      <c r="D37" s="122"/>
      <c r="E37" s="122"/>
      <c r="F37" s="122"/>
      <c r="G37" s="122"/>
      <c r="H37" s="122"/>
      <c r="I37" s="122"/>
      <c r="J37" s="122"/>
      <c r="K37" s="122"/>
      <c r="L37" s="122"/>
      <c r="M37" s="122"/>
      <c r="N37" s="122"/>
      <c r="O37" s="122"/>
      <c r="P37" s="122"/>
      <c r="Q37" s="122"/>
      <c r="R37" s="122"/>
      <c r="S37" s="122"/>
      <c r="T37" s="123"/>
    </row>
    <row r="38" spans="2:20" ht="17.25" customHeight="1" thickBot="1" x14ac:dyDescent="0.35">
      <c r="B38" s="130"/>
      <c r="C38" s="122"/>
      <c r="D38" s="122"/>
      <c r="E38" s="122"/>
      <c r="F38" s="122"/>
      <c r="G38" s="122"/>
      <c r="H38" s="122"/>
      <c r="I38" s="122"/>
      <c r="J38" s="122"/>
      <c r="K38" s="122"/>
      <c r="L38" s="122"/>
      <c r="M38" s="141"/>
      <c r="N38" s="122"/>
      <c r="O38" s="122"/>
      <c r="P38" s="122"/>
      <c r="Q38" s="122"/>
      <c r="R38" s="122"/>
      <c r="S38" s="122"/>
      <c r="T38" s="123"/>
    </row>
    <row r="39" spans="2:20" ht="17.25" customHeight="1" thickTop="1" x14ac:dyDescent="0.3">
      <c r="B39" s="130"/>
      <c r="C39" s="30"/>
      <c r="D39" s="31"/>
      <c r="E39" s="31"/>
      <c r="F39" s="56"/>
      <c r="G39" s="57"/>
      <c r="H39" s="57"/>
      <c r="I39" s="57"/>
      <c r="J39" s="64"/>
      <c r="K39" s="122"/>
      <c r="L39" s="122"/>
      <c r="M39" s="122"/>
      <c r="N39" s="122"/>
      <c r="O39" s="122"/>
      <c r="P39" s="122"/>
      <c r="Q39" s="122"/>
      <c r="R39" s="122"/>
      <c r="S39" s="122"/>
      <c r="T39" s="123"/>
    </row>
    <row r="40" spans="2:20" ht="17.25" customHeight="1" thickBot="1" x14ac:dyDescent="0.35">
      <c r="B40" s="130"/>
      <c r="C40" s="32"/>
      <c r="D40" s="39" t="s">
        <v>18</v>
      </c>
      <c r="E40" s="33"/>
      <c r="F40" s="58" t="s">
        <v>17</v>
      </c>
      <c r="G40" s="59"/>
      <c r="H40" s="59"/>
      <c r="I40" s="59"/>
      <c r="J40" s="65"/>
      <c r="K40" s="122"/>
      <c r="L40" s="122"/>
      <c r="M40" s="122"/>
      <c r="N40" s="122"/>
      <c r="O40" s="122"/>
      <c r="P40" s="122"/>
      <c r="Q40" s="122"/>
      <c r="R40" s="122"/>
      <c r="S40" s="122"/>
      <c r="T40" s="123"/>
    </row>
    <row r="41" spans="2:20" ht="17.25" customHeight="1" thickTop="1" thickBot="1" x14ac:dyDescent="0.35">
      <c r="B41" s="130"/>
      <c r="C41" s="32"/>
      <c r="D41" s="27">
        <f>IF(AND(MONTH(Date_Naissance)=MONTH(Date_retraite),DAY(Date_Naissance)&gt;DAY(Date_retraite)),YEAR(Date_retraite)-YEAR(Date_Naissance)-1,IF(MONTH(Date_Naissance)&gt;MONTH(Date_retraite),YEAR(Date_retraite)-YEAR(Date_Naissance)-1,(YEAR(Date_retraite)-YEAR(Date_Naissance))))</f>
        <v>62</v>
      </c>
      <c r="E41" s="33" t="s">
        <v>5</v>
      </c>
      <c r="F41" s="60"/>
      <c r="G41" s="59"/>
      <c r="H41" s="59"/>
      <c r="I41" s="66" t="s">
        <v>9</v>
      </c>
      <c r="J41" s="65"/>
      <c r="K41" s="122"/>
      <c r="L41" s="122"/>
      <c r="M41" s="122"/>
      <c r="N41" s="122"/>
      <c r="O41" s="122"/>
      <c r="P41" s="122"/>
      <c r="Q41" s="122"/>
      <c r="R41" s="122"/>
      <c r="S41" s="122"/>
      <c r="T41" s="123"/>
    </row>
    <row r="42" spans="2:20" ht="17.25" customHeight="1" thickTop="1" thickBot="1" x14ac:dyDescent="0.35">
      <c r="B42" s="130"/>
      <c r="C42" s="32"/>
      <c r="D42" s="27">
        <f>IF(MONTH(Date_Naissance)=MONTH(Date_retraite),IF(DAY(Date_retraite)&lt;DAY(Date_Naissance),11,0),IF(MONTH(Date_retraite)&gt;=MONTH(Date_Naissance),MONTH(Date_retraite)-MONTH(Date_Naissance),12+MONTH(Date_retraite)-MONTH(Date_Naissance)))</f>
        <v>1</v>
      </c>
      <c r="E42" s="33" t="s">
        <v>4</v>
      </c>
      <c r="F42" s="60"/>
      <c r="G42" s="59"/>
      <c r="H42" s="61" t="s">
        <v>14</v>
      </c>
      <c r="I42" s="2" t="str">
        <f>IF(AND(Age_Ret&lt;55,Admissibilite&gt;=35),"Oui",IF(Age_Ret&gt;=55,"Oui","Non"))</f>
        <v>Oui</v>
      </c>
      <c r="J42" s="65"/>
      <c r="K42" s="122"/>
      <c r="L42" s="122"/>
      <c r="M42" s="129"/>
      <c r="N42" s="122"/>
      <c r="O42" s="122"/>
      <c r="P42" s="122"/>
      <c r="Q42" s="122"/>
      <c r="R42" s="122"/>
      <c r="S42" s="122"/>
      <c r="T42" s="123"/>
    </row>
    <row r="43" spans="2:20" ht="17.25" customHeight="1" thickTop="1" thickBot="1" x14ac:dyDescent="0.35">
      <c r="B43" s="130"/>
      <c r="C43" s="32"/>
      <c r="D43" s="25">
        <f>D41+D42/12</f>
        <v>62.083333333333336</v>
      </c>
      <c r="E43" s="33" t="s">
        <v>13</v>
      </c>
      <c r="F43" s="60"/>
      <c r="G43" s="59"/>
      <c r="H43" s="61" t="s">
        <v>8</v>
      </c>
      <c r="I43" s="27">
        <f>ROUNDUP(IF(Admissibilite&gt;=35,0,(35-Admissibilite)*12),0)</f>
        <v>91</v>
      </c>
      <c r="J43" s="65"/>
      <c r="K43" s="122"/>
      <c r="L43" s="122"/>
      <c r="M43" s="122"/>
      <c r="N43" s="122"/>
      <c r="O43" s="122"/>
      <c r="P43" s="122"/>
      <c r="Q43" s="122"/>
      <c r="R43" s="122"/>
      <c r="S43" s="122"/>
      <c r="T43" s="123"/>
    </row>
    <row r="44" spans="2:20" ht="17.25" customHeight="1" thickTop="1" thickBot="1" x14ac:dyDescent="0.35">
      <c r="B44" s="130"/>
      <c r="C44" s="32"/>
      <c r="D44" s="25">
        <f>Admissibilite</f>
        <v>27.4559</v>
      </c>
      <c r="E44" s="33" t="s">
        <v>12</v>
      </c>
      <c r="F44" s="60"/>
      <c r="G44" s="59"/>
      <c r="H44" s="61" t="s">
        <v>19</v>
      </c>
      <c r="I44" s="28">
        <f>IF(Age_Ret&gt;=60,ROUNDUP((IF(Age_Ret+Admissibilite&gt;=90,0,((90-Age_Ret-Admissibilite)*12)/2)),0),IF(D47&lt;30,(((30-D47)*12)/2+D48),D48))</f>
        <v>3</v>
      </c>
      <c r="J44" s="65"/>
      <c r="K44" s="122"/>
      <c r="L44" s="122"/>
      <c r="M44" s="122"/>
      <c r="N44" s="122"/>
      <c r="O44" s="122"/>
      <c r="P44" s="122"/>
      <c r="Q44" s="122"/>
      <c r="R44" s="122"/>
      <c r="S44" s="122"/>
      <c r="T44" s="123"/>
    </row>
    <row r="45" spans="2:20" ht="17.25" customHeight="1" thickTop="1" thickBot="1" x14ac:dyDescent="0.35">
      <c r="B45" s="130"/>
      <c r="C45" s="32"/>
      <c r="D45" s="28">
        <f>ROUNDDOWN(D44,0)</f>
        <v>27</v>
      </c>
      <c r="E45" s="33" t="s">
        <v>12</v>
      </c>
      <c r="F45" s="60"/>
      <c r="G45" s="59"/>
      <c r="H45" s="61" t="s">
        <v>11</v>
      </c>
      <c r="I45" s="2">
        <f>IF(Age_Ret&gt;=61,0,(61-Age_Ret)*12)</f>
        <v>0</v>
      </c>
      <c r="J45" s="65"/>
      <c r="K45" s="122"/>
      <c r="L45" s="122"/>
      <c r="M45" s="141"/>
      <c r="N45" s="122"/>
      <c r="O45" s="122"/>
      <c r="P45" s="122"/>
      <c r="Q45" s="122"/>
      <c r="R45" s="122"/>
      <c r="S45" s="122"/>
      <c r="T45" s="123"/>
    </row>
    <row r="46" spans="2:20" ht="17.25" customHeight="1" thickTop="1" thickBot="1" x14ac:dyDescent="0.35">
      <c r="B46" s="130"/>
      <c r="C46" s="32"/>
      <c r="D46" s="28">
        <f>(Date_dernier-DATE(YEAR(Date_dernier),1,0))</f>
        <v>164</v>
      </c>
      <c r="E46" s="33" t="s">
        <v>458</v>
      </c>
      <c r="F46" s="60"/>
      <c r="G46" s="59"/>
      <c r="H46" s="59"/>
      <c r="I46" s="59"/>
      <c r="J46" s="65"/>
      <c r="K46" s="122"/>
      <c r="L46" s="122"/>
      <c r="M46" s="122"/>
      <c r="N46" s="122"/>
      <c r="O46" s="122"/>
      <c r="P46" s="122"/>
      <c r="Q46" s="122"/>
      <c r="R46" s="122"/>
      <c r="S46" s="122"/>
      <c r="T46" s="123"/>
    </row>
    <row r="47" spans="2:20" ht="17.25" customHeight="1" thickTop="1" thickBot="1" x14ac:dyDescent="0.35">
      <c r="B47" s="130"/>
      <c r="C47" s="32"/>
      <c r="D47" s="37">
        <f>Admissibilite+D48/12</f>
        <v>27.4559</v>
      </c>
      <c r="E47" s="33" t="s">
        <v>15</v>
      </c>
      <c r="F47" s="60"/>
      <c r="G47" s="59"/>
      <c r="H47" s="61" t="s">
        <v>10</v>
      </c>
      <c r="I47" s="27">
        <f>IF(I42="Oui",MIN(I43:I45),0)</f>
        <v>0</v>
      </c>
      <c r="J47" s="65"/>
      <c r="K47" s="122"/>
      <c r="L47" s="122"/>
      <c r="M47" s="122"/>
      <c r="N47" s="122"/>
      <c r="O47" s="122"/>
      <c r="P47" s="122"/>
      <c r="Q47" s="122"/>
      <c r="R47" s="122"/>
      <c r="S47" s="122"/>
      <c r="T47" s="123"/>
    </row>
    <row r="48" spans="2:20" ht="17.25" customHeight="1" thickTop="1" thickBot="1" x14ac:dyDescent="0.35">
      <c r="B48" s="130"/>
      <c r="C48" s="32"/>
      <c r="D48" s="2">
        <f>IF((60-Age_Ret)*12&lt;0,0,60-Age_Ret)*12</f>
        <v>0</v>
      </c>
      <c r="E48" s="38" t="s">
        <v>16</v>
      </c>
      <c r="F48" s="60"/>
      <c r="G48" s="59"/>
      <c r="H48" s="59"/>
      <c r="I48" s="59"/>
      <c r="J48" s="65"/>
      <c r="K48" s="122"/>
      <c r="L48" s="122"/>
      <c r="M48" s="122"/>
      <c r="N48" s="122"/>
      <c r="O48" s="122"/>
      <c r="P48" s="122"/>
      <c r="Q48" s="122"/>
      <c r="R48" s="122"/>
      <c r="S48" s="122"/>
      <c r="T48" s="123"/>
    </row>
    <row r="49" spans="2:20" ht="17.25" customHeight="1" thickTop="1" thickBot="1" x14ac:dyDescent="0.35">
      <c r="B49" s="130"/>
      <c r="C49" s="34"/>
      <c r="D49" s="35"/>
      <c r="E49" s="36"/>
      <c r="F49" s="62"/>
      <c r="G49" s="63"/>
      <c r="H49" s="63"/>
      <c r="I49" s="63"/>
      <c r="J49" s="67"/>
      <c r="K49" s="122"/>
      <c r="L49" s="122"/>
      <c r="M49" s="122"/>
      <c r="N49" s="122"/>
      <c r="O49" s="122"/>
      <c r="P49" s="122"/>
      <c r="Q49" s="122"/>
      <c r="R49" s="122"/>
      <c r="S49" s="122"/>
      <c r="T49" s="123"/>
    </row>
    <row r="50" spans="2:20" ht="17.25" customHeight="1" thickTop="1" x14ac:dyDescent="0.3">
      <c r="B50" s="130"/>
      <c r="C50" s="122"/>
      <c r="D50" s="122"/>
      <c r="E50" s="122"/>
      <c r="F50" s="122"/>
      <c r="G50" s="122"/>
      <c r="H50" s="122"/>
      <c r="I50" s="122"/>
      <c r="J50" s="122"/>
      <c r="K50" s="122"/>
      <c r="L50" s="122"/>
      <c r="M50" s="122"/>
      <c r="N50" s="122"/>
      <c r="O50" s="122"/>
      <c r="P50" s="122"/>
      <c r="Q50" s="122"/>
      <c r="R50" s="122"/>
      <c r="S50" s="122"/>
      <c r="T50" s="123"/>
    </row>
    <row r="51" spans="2:20" ht="17.25" customHeight="1" x14ac:dyDescent="0.3">
      <c r="B51" s="130"/>
      <c r="C51" s="122"/>
      <c r="D51" s="122"/>
      <c r="E51" s="122"/>
      <c r="F51" s="122"/>
      <c r="G51" s="122"/>
      <c r="H51" s="122"/>
      <c r="I51" s="122"/>
      <c r="J51" s="122"/>
      <c r="K51" s="122"/>
      <c r="L51" s="122"/>
      <c r="M51" s="122"/>
      <c r="N51" s="122"/>
      <c r="O51" s="122"/>
      <c r="P51" s="122"/>
      <c r="Q51" s="122"/>
      <c r="R51" s="122"/>
      <c r="S51" s="122"/>
      <c r="T51" s="123"/>
    </row>
    <row r="52" spans="2:20" ht="17.25" customHeight="1" thickBot="1" x14ac:dyDescent="0.35">
      <c r="B52" s="138"/>
      <c r="C52" s="125"/>
      <c r="D52" s="125"/>
      <c r="E52" s="125"/>
      <c r="F52" s="125"/>
      <c r="G52" s="125"/>
      <c r="H52" s="125"/>
      <c r="I52" s="125"/>
      <c r="J52" s="125"/>
      <c r="K52" s="125"/>
      <c r="L52" s="125"/>
      <c r="M52" s="125"/>
      <c r="N52" s="125"/>
      <c r="O52" s="125"/>
      <c r="P52" s="125"/>
      <c r="Q52" s="125"/>
      <c r="R52" s="125"/>
      <c r="S52" s="125"/>
      <c r="T52" s="126"/>
    </row>
    <row r="53" spans="2:20" ht="17.25" customHeight="1" thickTop="1" x14ac:dyDescent="0.3"/>
    <row r="55" spans="2:20" ht="17.25" customHeight="1" x14ac:dyDescent="0.45">
      <c r="B55" s="576" t="s">
        <v>402</v>
      </c>
      <c r="C55" s="576"/>
      <c r="D55" s="576"/>
      <c r="E55" s="576"/>
      <c r="F55" s="576"/>
    </row>
    <row r="56" spans="2:20" ht="17.25" customHeight="1" x14ac:dyDescent="0.35">
      <c r="B56" s="575" t="s">
        <v>409</v>
      </c>
      <c r="C56" s="575"/>
      <c r="D56" s="575"/>
      <c r="E56" s="575"/>
      <c r="F56" s="575"/>
    </row>
    <row r="57" spans="2:20" ht="17.25" customHeight="1" x14ac:dyDescent="0.35">
      <c r="B57" s="575" t="s">
        <v>410</v>
      </c>
      <c r="C57" s="575"/>
      <c r="D57" s="575"/>
      <c r="E57" s="575"/>
      <c r="F57" s="575"/>
    </row>
    <row r="58" spans="2:20" ht="17.25" customHeight="1" x14ac:dyDescent="0.35">
      <c r="B58" s="575" t="s">
        <v>403</v>
      </c>
      <c r="C58" s="575"/>
      <c r="D58" s="575"/>
      <c r="E58" s="575"/>
      <c r="F58" s="575"/>
    </row>
    <row r="59" spans="2:20" ht="17.25" customHeight="1" x14ac:dyDescent="0.3">
      <c r="D59" s="3"/>
    </row>
    <row r="1048557" spans="2:2" ht="17.25" customHeight="1" x14ac:dyDescent="0.3">
      <c r="B1048557" s="26" t="s">
        <v>6</v>
      </c>
    </row>
  </sheetData>
  <sheetProtection sheet="1" objects="1" scenarios="1"/>
  <mergeCells count="5">
    <mergeCell ref="L24:S24"/>
    <mergeCell ref="B56:F56"/>
    <mergeCell ref="B57:F57"/>
    <mergeCell ref="B58:F58"/>
    <mergeCell ref="B55:F55"/>
  </mergeCells>
  <phoneticPr fontId="9" type="noConversion"/>
  <dataValidations xWindow="580" yWindow="394" count="3">
    <dataValidation type="custom" showInputMessage="1" showErrorMessage="1" errorTitle="ATTENTION" error="Cette cellule est réservée" promptTitle="Cette cellule est réservée" sqref="B1048557:B1048576" xr:uid="{00000000-0002-0000-0100-000001000000}">
      <formula1>"Daniel Légaré"</formula1>
    </dataValidation>
    <dataValidation allowBlank="1" showInputMessage="1" showErrorMessage="1" prompt="Si vous indiquée une valeur ici, le calcul sera effectué avec celle-ci." sqref="C18:C19" xr:uid="{00000000-0002-0000-0100-000002000000}"/>
    <dataValidation operator="lessThan" allowBlank="1" showInputMessage="1" showErrorMessage="1" sqref="D19" xr:uid="{6FC3B04A-054E-46AC-9CA7-80FEE5164B22}"/>
  </dataValidations>
  <hyperlinks>
    <hyperlink ref="B56" r:id="rId1" display="Outil &quot;Estimation de la rente de Retraite QC&quot;" xr:uid="{2CA2B625-805D-4C2E-82EA-947B3FDB2169}"/>
    <hyperlink ref="B57" r:id="rId2" display="Formulaire pour demande d'estimation de rente à Retraite QC" xr:uid="{B312584E-B1ED-448D-93C1-1FDA02E19A49}"/>
    <hyperlink ref="B58" r:id="rId3" xr:uid="{9ACCBAA2-9935-4465-B6AA-FB1E3F8AB802}"/>
  </hyperlinks>
  <pageMargins left="0.70866141732283472" right="0.70866141732283472" top="0.74803149606299213" bottom="0.74803149606299213" header="0.31496062992125984" footer="0.31496062992125984"/>
  <pageSetup scale="53" orientation="landscape" r:id="rId4"/>
  <drawing r:id="rId5"/>
  <extLst>
    <ext xmlns:x14="http://schemas.microsoft.com/office/spreadsheetml/2009/9/main" uri="{CCE6A557-97BC-4b89-ADB6-D9C93CAAB3DF}">
      <x14:dataValidations xmlns:xm="http://schemas.microsoft.com/office/excel/2006/main" xWindow="580" yWindow="394" count="1">
        <x14:dataValidation type="list" allowBlank="1" showInputMessage="1" showErrorMessage="1" errorTitle="Erreur" error="La date du &quot;Relevé de participation&quot; doit être un 31 décembre." xr:uid="{890CE8CA-2BC2-41D3-820C-987F6FA06B9F}">
          <x14:formula1>
            <xm:f>Support!$B$31:$B$38</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92D050"/>
    <pageSetUpPr fitToPage="1"/>
  </sheetPr>
  <dimension ref="A1:V90"/>
  <sheetViews>
    <sheetView showGridLines="0" zoomScaleNormal="100" workbookViewId="0">
      <selection activeCell="C7" sqref="C7"/>
    </sheetView>
  </sheetViews>
  <sheetFormatPr baseColWidth="10" defaultRowHeight="14.4" x14ac:dyDescent="0.3"/>
  <cols>
    <col min="1" max="1" width="5.77734375" customWidth="1"/>
    <col min="2" max="2" width="3.21875" customWidth="1"/>
    <col min="3" max="3" width="12.44140625" customWidth="1"/>
    <col min="4" max="4" width="12.21875" customWidth="1"/>
    <col min="5" max="5" width="11.21875" customWidth="1"/>
    <col min="6" max="6" width="12.44140625" bestFit="1" customWidth="1"/>
    <col min="7" max="7" width="12" customWidth="1"/>
    <col min="8" max="8" width="15.21875" customWidth="1"/>
    <col min="9" max="9" width="19" customWidth="1"/>
    <col min="10" max="10" width="14.44140625" customWidth="1"/>
    <col min="11" max="11" width="20.21875" customWidth="1"/>
    <col min="12" max="12" width="4.44140625" customWidth="1"/>
    <col min="18" max="18" width="19.21875" customWidth="1"/>
    <col min="21" max="21" width="35.21875" customWidth="1"/>
    <col min="22" max="22" width="15.77734375" customWidth="1"/>
  </cols>
  <sheetData>
    <row r="1" spans="1:19" ht="15" thickBot="1" x14ac:dyDescent="0.35">
      <c r="A1" s="26" t="s">
        <v>47</v>
      </c>
      <c r="B1" s="26"/>
    </row>
    <row r="2" spans="1:19" ht="15" thickTop="1" x14ac:dyDescent="0.3">
      <c r="A2" s="26"/>
      <c r="B2" s="519"/>
      <c r="C2" s="120"/>
      <c r="D2" s="120"/>
      <c r="E2" s="120"/>
      <c r="F2" s="120"/>
      <c r="G2" s="120"/>
      <c r="H2" s="120"/>
      <c r="I2" s="120"/>
      <c r="J2" s="120"/>
      <c r="K2" s="120"/>
      <c r="L2" s="120"/>
      <c r="M2" s="120"/>
      <c r="N2" s="120"/>
      <c r="O2" s="120"/>
      <c r="P2" s="120"/>
      <c r="Q2" s="120"/>
      <c r="R2" s="120"/>
      <c r="S2" s="121"/>
    </row>
    <row r="3" spans="1:19" ht="36.6" x14ac:dyDescent="0.7">
      <c r="A3" s="26"/>
      <c r="B3" s="520"/>
      <c r="C3" s="441" t="s">
        <v>423</v>
      </c>
      <c r="D3" s="441"/>
      <c r="E3" s="122"/>
      <c r="F3" s="122"/>
      <c r="G3" s="122"/>
      <c r="H3" s="122"/>
      <c r="I3" s="122"/>
      <c r="J3" s="122"/>
      <c r="K3" s="122"/>
      <c r="L3" s="122"/>
      <c r="M3" s="122"/>
      <c r="N3" s="122"/>
      <c r="O3" s="122"/>
      <c r="P3" s="122"/>
      <c r="Q3" s="122"/>
      <c r="R3" s="122"/>
      <c r="S3" s="123"/>
    </row>
    <row r="4" spans="1:19" x14ac:dyDescent="0.3">
      <c r="A4" s="26"/>
      <c r="B4" s="520"/>
      <c r="C4" s="477" t="s">
        <v>450</v>
      </c>
      <c r="D4" s="122"/>
      <c r="E4" s="122"/>
      <c r="F4" s="122"/>
      <c r="G4" s="122"/>
      <c r="H4" s="122"/>
      <c r="I4" s="122"/>
      <c r="J4" s="122"/>
      <c r="K4" s="122"/>
      <c r="L4" s="122"/>
      <c r="M4" s="122"/>
      <c r="N4" s="122"/>
      <c r="O4" s="122"/>
      <c r="P4" s="122"/>
      <c r="Q4" s="122"/>
      <c r="R4" s="122"/>
      <c r="S4" s="123"/>
    </row>
    <row r="5" spans="1:19" x14ac:dyDescent="0.3">
      <c r="B5" s="130"/>
      <c r="C5" s="521" t="s">
        <v>464</v>
      </c>
      <c r="D5" s="521"/>
      <c r="E5" s="122"/>
      <c r="F5" s="122"/>
      <c r="G5" s="122"/>
      <c r="H5" s="122"/>
      <c r="I5" s="122"/>
      <c r="J5" s="122"/>
      <c r="K5" s="122"/>
      <c r="L5" s="122"/>
      <c r="M5" s="122"/>
      <c r="N5" s="122"/>
      <c r="O5" s="122"/>
      <c r="P5" s="122"/>
      <c r="Q5" s="122"/>
      <c r="R5" s="122"/>
      <c r="S5" s="123"/>
    </row>
    <row r="6" spans="1:19" x14ac:dyDescent="0.3">
      <c r="B6" s="130"/>
      <c r="C6" s="521" t="s">
        <v>465</v>
      </c>
      <c r="D6" s="521"/>
      <c r="E6" s="122"/>
      <c r="F6" s="122"/>
      <c r="G6" s="122"/>
      <c r="H6" s="122"/>
      <c r="I6" s="122"/>
      <c r="J6" s="122"/>
      <c r="K6" s="122"/>
      <c r="L6" s="122"/>
      <c r="M6" s="122"/>
      <c r="N6" s="122"/>
      <c r="O6" s="122"/>
      <c r="P6" s="122"/>
      <c r="Q6" s="122"/>
      <c r="R6" s="122"/>
      <c r="S6" s="123"/>
    </row>
    <row r="7" spans="1:19" x14ac:dyDescent="0.3">
      <c r="B7" s="130"/>
      <c r="C7" s="521" t="s">
        <v>466</v>
      </c>
      <c r="D7" s="521"/>
      <c r="E7" s="122"/>
      <c r="F7" s="122"/>
      <c r="G7" s="122"/>
      <c r="H7" s="122"/>
      <c r="I7" s="122"/>
      <c r="J7" s="122"/>
      <c r="K7" s="122"/>
      <c r="L7" s="122"/>
      <c r="M7" s="122"/>
      <c r="N7" s="122"/>
      <c r="O7" s="122"/>
      <c r="P7" s="122"/>
      <c r="Q7" s="122"/>
      <c r="R7" s="122"/>
      <c r="S7" s="123"/>
    </row>
    <row r="8" spans="1:19" x14ac:dyDescent="0.3">
      <c r="B8" s="130"/>
      <c r="C8" s="521" t="s">
        <v>447</v>
      </c>
      <c r="D8" s="521"/>
      <c r="E8" s="122"/>
      <c r="F8" s="122"/>
      <c r="G8" s="122"/>
      <c r="H8" s="122"/>
      <c r="I8" s="122"/>
      <c r="J8" s="122"/>
      <c r="K8" s="122"/>
      <c r="L8" s="122"/>
      <c r="M8" s="122"/>
      <c r="N8" s="122"/>
      <c r="O8" s="122"/>
      <c r="P8" s="122"/>
      <c r="Q8" s="122"/>
      <c r="R8" s="122"/>
      <c r="S8" s="123"/>
    </row>
    <row r="9" spans="1:19" x14ac:dyDescent="0.3">
      <c r="B9" s="130"/>
      <c r="C9" s="522"/>
      <c r="D9" s="522"/>
      <c r="E9" s="122"/>
      <c r="F9" s="122"/>
      <c r="G9" s="122"/>
      <c r="H9" s="122"/>
      <c r="I9" s="122"/>
      <c r="J9" s="122"/>
      <c r="K9" s="122"/>
      <c r="L9" s="122"/>
      <c r="M9" s="124"/>
      <c r="N9" s="122"/>
      <c r="O9" s="122"/>
      <c r="P9" s="122"/>
      <c r="Q9" s="122"/>
      <c r="R9" s="122"/>
      <c r="S9" s="123"/>
    </row>
    <row r="10" spans="1:19" ht="15.6" x14ac:dyDescent="0.3">
      <c r="B10" s="130"/>
      <c r="C10" s="523" t="s">
        <v>441</v>
      </c>
      <c r="D10" s="523"/>
      <c r="E10" s="122"/>
      <c r="F10" s="122"/>
      <c r="G10" s="122"/>
      <c r="H10" s="122"/>
      <c r="I10" s="122"/>
      <c r="J10" s="122"/>
      <c r="K10" s="122"/>
      <c r="L10" s="122"/>
      <c r="M10" s="122"/>
      <c r="N10" s="122"/>
      <c r="O10" s="122"/>
      <c r="P10" s="122"/>
      <c r="Q10" s="122"/>
      <c r="R10" s="122"/>
      <c r="S10" s="123"/>
    </row>
    <row r="11" spans="1:19" ht="49.95" customHeight="1" thickBot="1" x14ac:dyDescent="0.35">
      <c r="B11" s="130"/>
      <c r="C11" s="524" t="s">
        <v>31</v>
      </c>
      <c r="D11" s="493" t="s">
        <v>438</v>
      </c>
      <c r="E11" s="493" t="s">
        <v>440</v>
      </c>
      <c r="F11" s="493" t="s">
        <v>36</v>
      </c>
      <c r="G11" s="493" t="s">
        <v>24</v>
      </c>
      <c r="H11" s="493" t="s">
        <v>25</v>
      </c>
      <c r="I11" s="493" t="s">
        <v>437</v>
      </c>
      <c r="J11" s="493" t="s">
        <v>433</v>
      </c>
      <c r="K11" s="493" t="s">
        <v>436</v>
      </c>
      <c r="L11" s="122" t="s">
        <v>60</v>
      </c>
      <c r="M11" s="523" t="s">
        <v>434</v>
      </c>
      <c r="N11" s="122"/>
      <c r="O11" s="122"/>
      <c r="P11" s="122"/>
      <c r="Q11" s="122"/>
      <c r="R11" s="122"/>
      <c r="S11" s="123"/>
    </row>
    <row r="12" spans="1:19" ht="15" thickTop="1" x14ac:dyDescent="0.3">
      <c r="B12" s="130"/>
      <c r="C12" s="501">
        <v>2024</v>
      </c>
      <c r="D12" s="502">
        <f t="shared" ref="D12:D43" si="0">IF($C12=(YEAR(M$12)+18),12-MONTH(M$12),IF($C12&gt;(YEAR(M$12)+18),12,0))</f>
        <v>12</v>
      </c>
      <c r="E12" s="503" t="str">
        <f>IF(RRQ!$H12=RRQ!$G12,"oui","")</f>
        <v>oui</v>
      </c>
      <c r="F12" s="504">
        <v>3500</v>
      </c>
      <c r="G12" s="504">
        <v>68500</v>
      </c>
      <c r="H12" s="561">
        <v>68500</v>
      </c>
      <c r="I12" s="504">
        <f>RRQ!$H12*AVERAGE(G$12:G$16)/RRQ!$G12</f>
        <v>64060</v>
      </c>
      <c r="J12" s="564"/>
      <c r="K12" s="505">
        <f>RRQ!$J12/12*RRQ!$I12</f>
        <v>0</v>
      </c>
      <c r="L12" s="122"/>
      <c r="M12" s="567">
        <v>25102</v>
      </c>
      <c r="N12" s="122" t="s">
        <v>432</v>
      </c>
      <c r="O12" s="122"/>
      <c r="P12" s="122"/>
      <c r="Q12" s="122"/>
      <c r="R12" s="122"/>
      <c r="S12" s="123"/>
    </row>
    <row r="13" spans="1:19" x14ac:dyDescent="0.3">
      <c r="B13" s="130"/>
      <c r="C13" s="506">
        <v>2023</v>
      </c>
      <c r="D13" s="507">
        <f t="shared" si="0"/>
        <v>12</v>
      </c>
      <c r="E13" s="508" t="str">
        <f>IF(RRQ!$H13=RRQ!$G13,"oui","")</f>
        <v>oui</v>
      </c>
      <c r="F13" s="509">
        <v>3500</v>
      </c>
      <c r="G13" s="509">
        <v>66600</v>
      </c>
      <c r="H13" s="562">
        <f>G13</f>
        <v>66600</v>
      </c>
      <c r="I13" s="509">
        <f>RRQ!$H13*AVERAGE(G$12:G$16)/RRQ!$G13</f>
        <v>64060</v>
      </c>
      <c r="J13" s="565"/>
      <c r="K13" s="52">
        <f>RRQ!$J13/12*RRQ!$I13</f>
        <v>0</v>
      </c>
      <c r="L13" s="122"/>
      <c r="M13" s="500">
        <f>SUM(D12:D70)</f>
        <v>459</v>
      </c>
      <c r="N13" s="122" t="s">
        <v>439</v>
      </c>
      <c r="O13" s="122"/>
      <c r="P13" s="122"/>
      <c r="Q13" s="122"/>
      <c r="R13" s="122"/>
      <c r="S13" s="123"/>
    </row>
    <row r="14" spans="1:19" x14ac:dyDescent="0.3">
      <c r="B14" s="130"/>
      <c r="C14" s="506">
        <v>2022</v>
      </c>
      <c r="D14" s="507">
        <f t="shared" si="0"/>
        <v>12</v>
      </c>
      <c r="E14" s="508" t="str">
        <f>IF(RRQ!$H14=RRQ!$G14,"oui","")</f>
        <v>oui</v>
      </c>
      <c r="F14" s="509">
        <v>3500</v>
      </c>
      <c r="G14" s="509">
        <v>64900</v>
      </c>
      <c r="H14" s="562">
        <f>G14</f>
        <v>64900</v>
      </c>
      <c r="I14" s="509">
        <f>RRQ!$H14*AVERAGE(G$12:G$16)/RRQ!$G14</f>
        <v>64060</v>
      </c>
      <c r="J14" s="565"/>
      <c r="K14" s="52">
        <f>RRQ!$J14/12*RRQ!$I14</f>
        <v>0</v>
      </c>
      <c r="L14" s="122"/>
      <c r="M14" s="391">
        <f>SUMIFS(Tableau2[Mois de cotisation],Tableau2[MGA atteint],"")</f>
        <v>87</v>
      </c>
      <c r="N14" s="122" t="s">
        <v>46</v>
      </c>
      <c r="O14" s="122"/>
      <c r="P14" s="122"/>
      <c r="Q14" s="122"/>
      <c r="R14" s="122"/>
      <c r="S14" s="123"/>
    </row>
    <row r="15" spans="1:19" x14ac:dyDescent="0.3">
      <c r="B15" s="130"/>
      <c r="C15" s="506">
        <v>2021</v>
      </c>
      <c r="D15" s="507">
        <f t="shared" si="0"/>
        <v>12</v>
      </c>
      <c r="E15" s="508" t="str">
        <f>IF(RRQ!$H15=RRQ!$G15,"oui","")</f>
        <v>oui</v>
      </c>
      <c r="F15" s="509">
        <v>3500</v>
      </c>
      <c r="G15" s="509">
        <v>61600</v>
      </c>
      <c r="H15" s="562">
        <f>G15</f>
        <v>61600</v>
      </c>
      <c r="I15" s="509">
        <f>RRQ!$H15*AVERAGE(G$12:G$16)/RRQ!$G15</f>
        <v>64060</v>
      </c>
      <c r="J15" s="565"/>
      <c r="K15" s="52">
        <f>RRQ!$J15/12*RRQ!$I15</f>
        <v>0</v>
      </c>
      <c r="L15" s="122"/>
      <c r="M15" s="391">
        <f>ROUND(MIN(0.15*M13,M14),0)</f>
        <v>69</v>
      </c>
      <c r="N15" s="122" t="s">
        <v>443</v>
      </c>
      <c r="O15" s="122"/>
      <c r="P15" s="122"/>
      <c r="Q15" s="122"/>
      <c r="R15" s="122"/>
      <c r="S15" s="123"/>
    </row>
    <row r="16" spans="1:19" ht="15" thickBot="1" x14ac:dyDescent="0.35">
      <c r="B16" s="130"/>
      <c r="C16" s="506">
        <v>2020</v>
      </c>
      <c r="D16" s="507">
        <f t="shared" si="0"/>
        <v>12</v>
      </c>
      <c r="E16" s="508" t="str">
        <f>IF(RRQ!$H16=RRQ!$G16,"oui","")</f>
        <v>oui</v>
      </c>
      <c r="F16" s="509">
        <v>3500</v>
      </c>
      <c r="G16" s="509">
        <v>58700</v>
      </c>
      <c r="H16" s="562">
        <f>G16</f>
        <v>58700</v>
      </c>
      <c r="I16" s="509">
        <f>RRQ!$H16*AVERAGE(G$12:G$16)/RRQ!$G16</f>
        <v>64060</v>
      </c>
      <c r="J16" s="565"/>
      <c r="K16" s="52">
        <f>RRQ!$J16/12*RRQ!$I16</f>
        <v>0</v>
      </c>
      <c r="L16" s="122"/>
      <c r="M16" s="514">
        <f>SUM(Tableau2[Nombre de mois à retrancher])</f>
        <v>69</v>
      </c>
      <c r="N16" s="122" t="s">
        <v>445</v>
      </c>
      <c r="O16" s="122"/>
      <c r="P16" s="122"/>
      <c r="Q16" s="122"/>
      <c r="R16" s="122"/>
      <c r="S16" s="123"/>
    </row>
    <row r="17" spans="2:22" ht="15" thickTop="1" x14ac:dyDescent="0.3">
      <c r="B17" s="130"/>
      <c r="C17" s="506">
        <v>2019</v>
      </c>
      <c r="D17" s="507">
        <f t="shared" si="0"/>
        <v>12</v>
      </c>
      <c r="E17" s="508" t="str">
        <f>IF(RRQ!$H17=RRQ!$G17,"oui","")</f>
        <v>oui</v>
      </c>
      <c r="F17" s="509">
        <v>3500</v>
      </c>
      <c r="G17" s="509">
        <v>57400</v>
      </c>
      <c r="H17" s="562">
        <f>G17</f>
        <v>57400</v>
      </c>
      <c r="I17" s="509">
        <f>RRQ!$H17*AVERAGE(G$12:G$16)/RRQ!$G17</f>
        <v>64060</v>
      </c>
      <c r="J17" s="565"/>
      <c r="K17" s="52">
        <f>RRQ!$J17/12*RRQ!$I17</f>
        <v>0</v>
      </c>
      <c r="L17" s="122"/>
      <c r="M17" s="477" t="str">
        <f>IF(M15=M16,"","ERREUR : Vous devez retrancher exactement "&amp;M15&amp;" mois. Ajuster les valeurs de la colonne « nombre de mois à retrancher ».")</f>
        <v/>
      </c>
      <c r="N17" s="122"/>
      <c r="O17" s="122"/>
      <c r="P17" s="122"/>
      <c r="Q17" s="122"/>
      <c r="R17" s="122"/>
      <c r="S17" s="123"/>
    </row>
    <row r="18" spans="2:22" x14ac:dyDescent="0.3">
      <c r="B18" s="130"/>
      <c r="C18" s="506">
        <v>2018</v>
      </c>
      <c r="D18" s="507">
        <f t="shared" si="0"/>
        <v>12</v>
      </c>
      <c r="E18" s="508" t="str">
        <f>IF(RRQ!$H18=RRQ!$G18,"oui","")</f>
        <v>oui</v>
      </c>
      <c r="F18" s="509">
        <v>3500</v>
      </c>
      <c r="G18" s="509">
        <v>55900</v>
      </c>
      <c r="H18" s="562">
        <v>55900</v>
      </c>
      <c r="I18" s="509">
        <f>RRQ!$H18*AVERAGE(G$12:G$16)/RRQ!$G18</f>
        <v>64060</v>
      </c>
      <c r="J18" s="565"/>
      <c r="K18" s="52">
        <f>RRQ!$J18/12*RRQ!$I18</f>
        <v>0</v>
      </c>
      <c r="L18" s="122"/>
      <c r="M18" s="122"/>
      <c r="N18" s="122"/>
      <c r="O18" s="122"/>
      <c r="P18" s="122"/>
      <c r="Q18" s="122"/>
      <c r="R18" s="122"/>
      <c r="S18" s="123"/>
    </row>
    <row r="19" spans="2:22" ht="15" thickBot="1" x14ac:dyDescent="0.35">
      <c r="B19" s="130"/>
      <c r="C19" s="506">
        <v>2017</v>
      </c>
      <c r="D19" s="507">
        <f t="shared" si="0"/>
        <v>12</v>
      </c>
      <c r="E19" s="508" t="str">
        <f>IF(RRQ!$H19=RRQ!$G19,"oui","")</f>
        <v>oui</v>
      </c>
      <c r="F19" s="509">
        <v>3500</v>
      </c>
      <c r="G19" s="509">
        <v>55300</v>
      </c>
      <c r="H19" s="562">
        <v>55300</v>
      </c>
      <c r="I19" s="509">
        <f>RRQ!$H19*AVERAGE(G$12:G$16)/RRQ!$G19</f>
        <v>64060</v>
      </c>
      <c r="J19" s="565"/>
      <c r="K19" s="52">
        <f>RRQ!$J19/12*RRQ!$I19</f>
        <v>0</v>
      </c>
      <c r="L19" s="122"/>
      <c r="M19" s="122"/>
      <c r="N19" s="122"/>
      <c r="O19" s="122"/>
      <c r="P19" s="122"/>
      <c r="Q19" s="122"/>
      <c r="R19" s="122"/>
      <c r="S19" s="123"/>
    </row>
    <row r="20" spans="2:22" ht="15" thickTop="1" x14ac:dyDescent="0.3">
      <c r="B20" s="130"/>
      <c r="C20" s="506">
        <v>2016</v>
      </c>
      <c r="D20" s="507">
        <f t="shared" si="0"/>
        <v>12</v>
      </c>
      <c r="E20" s="508" t="str">
        <f>IF(RRQ!$H20=RRQ!$G20,"oui","")</f>
        <v>oui</v>
      </c>
      <c r="F20" s="509">
        <v>3500</v>
      </c>
      <c r="G20" s="509">
        <v>54900</v>
      </c>
      <c r="H20" s="562">
        <v>54900</v>
      </c>
      <c r="I20" s="509">
        <f>RRQ!$H20*AVERAGE(G$12:G$16)/RRQ!$G20</f>
        <v>64060</v>
      </c>
      <c r="J20" s="565"/>
      <c r="K20" s="52">
        <f>RRQ!$J20/12*RRQ!$I20</f>
        <v>0</v>
      </c>
      <c r="L20" s="122"/>
      <c r="M20" s="515">
        <f>SUM(Tableau2[Revenu de travail annuel réajusté*])</f>
        <v>2269524.2405525004</v>
      </c>
      <c r="N20" s="122" t="s">
        <v>26</v>
      </c>
      <c r="O20" s="122"/>
      <c r="P20" s="122"/>
      <c r="Q20" s="122"/>
      <c r="R20" s="122"/>
      <c r="S20" s="123"/>
    </row>
    <row r="21" spans="2:22" x14ac:dyDescent="0.3">
      <c r="B21" s="130"/>
      <c r="C21" s="506">
        <v>2015</v>
      </c>
      <c r="D21" s="507">
        <f t="shared" si="0"/>
        <v>12</v>
      </c>
      <c r="E21" s="508" t="str">
        <f>IF(RRQ!$H21=RRQ!$G21,"oui","")</f>
        <v>oui</v>
      </c>
      <c r="F21" s="509">
        <v>3500</v>
      </c>
      <c r="G21" s="509">
        <v>53600</v>
      </c>
      <c r="H21" s="562">
        <v>53600</v>
      </c>
      <c r="I21" s="509">
        <f>RRQ!$H21*AVERAGE(G$12:G$16)/RRQ!$G21</f>
        <v>64060</v>
      </c>
      <c r="J21" s="565"/>
      <c r="K21" s="52">
        <f>RRQ!$J21/12*RRQ!$I21</f>
        <v>0</v>
      </c>
      <c r="L21" s="122"/>
      <c r="M21" s="392">
        <f>SUM(Tableau2[Revenus de travail retranchés])</f>
        <v>202109.07262748122</v>
      </c>
      <c r="N21" s="122" t="s">
        <v>27</v>
      </c>
      <c r="O21" s="122"/>
      <c r="P21" s="122"/>
      <c r="Q21" s="518"/>
      <c r="R21" s="518"/>
      <c r="S21" s="123"/>
    </row>
    <row r="22" spans="2:22" x14ac:dyDescent="0.3">
      <c r="B22" s="130"/>
      <c r="C22" s="506">
        <v>2014</v>
      </c>
      <c r="D22" s="507">
        <f t="shared" si="0"/>
        <v>12</v>
      </c>
      <c r="E22" s="508" t="str">
        <f>IF(RRQ!$H22=RRQ!$G22,"oui","")</f>
        <v>oui</v>
      </c>
      <c r="F22" s="509">
        <v>3500</v>
      </c>
      <c r="G22" s="509">
        <v>52500</v>
      </c>
      <c r="H22" s="562">
        <v>52500</v>
      </c>
      <c r="I22" s="509">
        <f>RRQ!$H22*AVERAGE(G$12:G$16)/RRQ!$G22</f>
        <v>64060</v>
      </c>
      <c r="J22" s="565"/>
      <c r="K22" s="52">
        <f>RRQ!$J22/12*RRQ!$I22</f>
        <v>0</v>
      </c>
      <c r="L22" s="122"/>
      <c r="M22" s="392">
        <f>M20-M21</f>
        <v>2067415.1679250191</v>
      </c>
      <c r="N22" s="122" t="s">
        <v>25</v>
      </c>
      <c r="O22" s="122"/>
      <c r="P22" s="518"/>
      <c r="Q22" s="122"/>
      <c r="R22" s="122"/>
      <c r="S22" s="123"/>
    </row>
    <row r="23" spans="2:22" x14ac:dyDescent="0.3">
      <c r="B23" s="130"/>
      <c r="C23" s="506">
        <v>2013</v>
      </c>
      <c r="D23" s="507">
        <f t="shared" si="0"/>
        <v>12</v>
      </c>
      <c r="E23" s="508" t="str">
        <f>IF(RRQ!$H23=RRQ!$G23,"oui","")</f>
        <v>oui</v>
      </c>
      <c r="F23" s="509">
        <v>3500</v>
      </c>
      <c r="G23" s="509">
        <v>51100</v>
      </c>
      <c r="H23" s="562">
        <v>51100</v>
      </c>
      <c r="I23" s="509">
        <f>RRQ!$H23*AVERAGE(G$12:G$16)/RRQ!$G23</f>
        <v>64060</v>
      </c>
      <c r="J23" s="565"/>
      <c r="K23" s="52">
        <f>RRQ!$J23/12*RRQ!$I23</f>
        <v>0</v>
      </c>
      <c r="L23" s="122"/>
      <c r="M23" s="390">
        <f>M13-M15</f>
        <v>390</v>
      </c>
      <c r="N23" s="122" t="s">
        <v>61</v>
      </c>
      <c r="O23" s="122"/>
      <c r="P23" s="518"/>
      <c r="Q23" s="122"/>
      <c r="R23" s="122"/>
      <c r="S23" s="123"/>
    </row>
    <row r="24" spans="2:22" ht="15" thickBot="1" x14ac:dyDescent="0.35">
      <c r="B24" s="130"/>
      <c r="C24" s="506">
        <v>2012</v>
      </c>
      <c r="D24" s="507">
        <f t="shared" si="0"/>
        <v>12</v>
      </c>
      <c r="E24" s="508" t="str">
        <f>IF(RRQ!$H24=RRQ!$G24,"oui","")</f>
        <v>oui</v>
      </c>
      <c r="F24" s="509">
        <v>3500</v>
      </c>
      <c r="G24" s="509">
        <v>50100</v>
      </c>
      <c r="H24" s="562">
        <v>50100</v>
      </c>
      <c r="I24" s="509">
        <f>RRQ!$H24*AVERAGE(G$12:G$16)/RRQ!$G24</f>
        <v>64060</v>
      </c>
      <c r="J24" s="565"/>
      <c r="K24" s="52">
        <f>RRQ!$J24/12*RRQ!$I24</f>
        <v>0</v>
      </c>
      <c r="L24" s="122"/>
      <c r="M24" s="516">
        <f>0.25*(M22/M23)</f>
        <v>1325.2661332852686</v>
      </c>
      <c r="N24" s="122" t="s">
        <v>442</v>
      </c>
      <c r="O24" s="122"/>
      <c r="P24" s="122"/>
      <c r="Q24" s="122"/>
      <c r="R24" s="122"/>
      <c r="S24" s="525"/>
    </row>
    <row r="25" spans="2:22" ht="15" thickTop="1" x14ac:dyDescent="0.3">
      <c r="B25" s="130"/>
      <c r="C25" s="506">
        <v>2011</v>
      </c>
      <c r="D25" s="507">
        <f t="shared" si="0"/>
        <v>12</v>
      </c>
      <c r="E25" s="508" t="str">
        <f>IF(RRQ!$H25=RRQ!$G25,"oui","")</f>
        <v>oui</v>
      </c>
      <c r="F25" s="509">
        <v>3500</v>
      </c>
      <c r="G25" s="509">
        <v>48300</v>
      </c>
      <c r="H25" s="562">
        <v>48300</v>
      </c>
      <c r="I25" s="509">
        <f>RRQ!$H25*AVERAGE(G$12:G$16)/RRQ!$G25</f>
        <v>64060</v>
      </c>
      <c r="J25" s="565"/>
      <c r="K25" s="52">
        <f>RRQ!$J25/12*RRQ!$I25</f>
        <v>0</v>
      </c>
      <c r="L25" s="122"/>
      <c r="M25" s="122"/>
      <c r="N25" s="122"/>
      <c r="O25" s="122"/>
      <c r="P25" s="122"/>
      <c r="Q25" s="122"/>
      <c r="R25" s="122"/>
      <c r="S25" s="525"/>
    </row>
    <row r="26" spans="2:22" x14ac:dyDescent="0.3">
      <c r="B26" s="130"/>
      <c r="C26" s="506">
        <v>2010</v>
      </c>
      <c r="D26" s="507">
        <f t="shared" si="0"/>
        <v>12</v>
      </c>
      <c r="E26" s="508" t="str">
        <f>IF(RRQ!$H26=RRQ!$G26,"oui","")</f>
        <v>oui</v>
      </c>
      <c r="F26" s="509">
        <v>3500</v>
      </c>
      <c r="G26" s="509">
        <v>47200</v>
      </c>
      <c r="H26" s="562">
        <v>47200</v>
      </c>
      <c r="I26" s="509">
        <f>RRQ!$H26*AVERAGE(G$12:G$16)/RRQ!$G26</f>
        <v>64060</v>
      </c>
      <c r="J26" s="565"/>
      <c r="K26" s="52">
        <f>RRQ!$J26/12*RRQ!$I26</f>
        <v>0</v>
      </c>
      <c r="L26" s="122"/>
      <c r="M26" s="122"/>
      <c r="N26" s="122"/>
      <c r="O26" s="122"/>
      <c r="P26" s="122"/>
      <c r="Q26" s="122"/>
      <c r="R26" s="122"/>
      <c r="S26" s="525"/>
    </row>
    <row r="27" spans="2:22" x14ac:dyDescent="0.3">
      <c r="B27" s="130"/>
      <c r="C27" s="506">
        <v>2009</v>
      </c>
      <c r="D27" s="507">
        <f t="shared" si="0"/>
        <v>12</v>
      </c>
      <c r="E27" s="508" t="str">
        <f>IF(RRQ!$H27=RRQ!$G27,"oui","")</f>
        <v>oui</v>
      </c>
      <c r="F27" s="509">
        <v>3500</v>
      </c>
      <c r="G27" s="509">
        <v>46300</v>
      </c>
      <c r="H27" s="562">
        <v>46300</v>
      </c>
      <c r="I27" s="509">
        <f>RRQ!$H27*AVERAGE(G$12:G$16)/RRQ!$G27</f>
        <v>64060</v>
      </c>
      <c r="J27" s="565"/>
      <c r="K27" s="52">
        <f>RRQ!$J27/12*RRQ!$I27</f>
        <v>0</v>
      </c>
      <c r="L27" s="122"/>
      <c r="M27" s="518"/>
      <c r="N27" s="122"/>
      <c r="O27" s="122"/>
      <c r="P27" s="122"/>
      <c r="Q27" s="122"/>
      <c r="R27" s="122"/>
      <c r="S27" s="525"/>
    </row>
    <row r="28" spans="2:22" x14ac:dyDescent="0.3">
      <c r="B28" s="130"/>
      <c r="C28" s="506">
        <v>2008</v>
      </c>
      <c r="D28" s="507">
        <f t="shared" si="0"/>
        <v>12</v>
      </c>
      <c r="E28" s="508" t="str">
        <f>IF(RRQ!$H28=RRQ!$G28,"oui","")</f>
        <v>oui</v>
      </c>
      <c r="F28" s="509">
        <v>3500</v>
      </c>
      <c r="G28" s="509">
        <v>44900</v>
      </c>
      <c r="H28" s="562">
        <v>44900</v>
      </c>
      <c r="I28" s="509">
        <f>RRQ!$H28*AVERAGE(G$12:G$16)/RRQ!$G28</f>
        <v>64060</v>
      </c>
      <c r="J28" s="565"/>
      <c r="K28" s="52">
        <f>RRQ!$J28/12*RRQ!$I28</f>
        <v>0</v>
      </c>
      <c r="L28" s="122"/>
      <c r="M28" s="122"/>
      <c r="N28" s="122"/>
      <c r="O28" s="122"/>
      <c r="P28" s="122"/>
      <c r="Q28" s="122"/>
      <c r="R28" s="122"/>
      <c r="S28" s="525"/>
    </row>
    <row r="29" spans="2:22" ht="16.2" thickBot="1" x14ac:dyDescent="0.35">
      <c r="B29" s="130"/>
      <c r="C29" s="506">
        <v>2007</v>
      </c>
      <c r="D29" s="507">
        <f t="shared" si="0"/>
        <v>12</v>
      </c>
      <c r="E29" s="508" t="str">
        <f>IF(RRQ!$H29=RRQ!$G29,"oui","")</f>
        <v>oui</v>
      </c>
      <c r="F29" s="509">
        <v>3500</v>
      </c>
      <c r="G29" s="509">
        <v>43700</v>
      </c>
      <c r="H29" s="562">
        <v>43700</v>
      </c>
      <c r="I29" s="509">
        <f>RRQ!$H29*AVERAGE(G$12:G$16)/RRQ!$G29</f>
        <v>64060</v>
      </c>
      <c r="J29" s="565"/>
      <c r="K29" s="52">
        <f>RRQ!$J29/12*RRQ!$I29</f>
        <v>0</v>
      </c>
      <c r="L29" s="122"/>
      <c r="M29" s="526" t="s">
        <v>435</v>
      </c>
      <c r="N29" s="122"/>
      <c r="O29" s="122"/>
      <c r="P29" s="122"/>
      <c r="Q29" s="122"/>
      <c r="R29" s="122"/>
      <c r="S29" s="527"/>
    </row>
    <row r="30" spans="2:22" ht="14.25" customHeight="1" thickTop="1" x14ac:dyDescent="0.3">
      <c r="B30" s="130"/>
      <c r="C30" s="506">
        <v>2006</v>
      </c>
      <c r="D30" s="507">
        <f t="shared" si="0"/>
        <v>12</v>
      </c>
      <c r="E30" s="508" t="str">
        <f>IF(RRQ!$H30=RRQ!$G30,"oui","")</f>
        <v>oui</v>
      </c>
      <c r="F30" s="509">
        <v>3500</v>
      </c>
      <c r="G30" s="509">
        <v>42100</v>
      </c>
      <c r="H30" s="562">
        <v>42100</v>
      </c>
      <c r="I30" s="509">
        <f>RRQ!$H30*AVERAGE(G$12:G$16)/RRQ!$G30</f>
        <v>64060</v>
      </c>
      <c r="J30" s="565"/>
      <c r="K30" s="52">
        <f>RRQ!$J30/12*RRQ!$I30</f>
        <v>0</v>
      </c>
      <c r="L30" s="122"/>
      <c r="M30" s="569"/>
      <c r="N30" s="122" t="s">
        <v>451</v>
      </c>
      <c r="O30" s="122"/>
      <c r="P30" s="122"/>
      <c r="Q30" s="122"/>
      <c r="R30" s="122"/>
      <c r="S30" s="123"/>
    </row>
    <row r="31" spans="2:22" x14ac:dyDescent="0.3">
      <c r="B31" s="130"/>
      <c r="C31" s="506">
        <v>2005</v>
      </c>
      <c r="D31" s="507">
        <f t="shared" si="0"/>
        <v>12</v>
      </c>
      <c r="E31" s="508" t="str">
        <f>IF(RRQ!$H31=RRQ!$G31,"oui","")</f>
        <v>oui</v>
      </c>
      <c r="F31" s="509">
        <v>3500</v>
      </c>
      <c r="G31" s="509">
        <v>41100</v>
      </c>
      <c r="H31" s="562">
        <v>41100</v>
      </c>
      <c r="I31" s="509">
        <f>RRQ!$H31*AVERAGE(G$12:G$16)/RRQ!$G31</f>
        <v>64060</v>
      </c>
      <c r="J31" s="565"/>
      <c r="K31" s="52">
        <f>RRQ!$J31/12*RRQ!$I31</f>
        <v>0</v>
      </c>
      <c r="L31" s="122"/>
      <c r="M31" s="491">
        <f>M30*0.006</f>
        <v>0</v>
      </c>
      <c r="N31" s="122" t="s">
        <v>428</v>
      </c>
      <c r="O31" s="122"/>
      <c r="P31" s="122"/>
      <c r="Q31" s="528"/>
      <c r="R31" s="122"/>
      <c r="S31" s="525"/>
      <c r="U31" s="42"/>
      <c r="V31" s="495"/>
    </row>
    <row r="32" spans="2:22" x14ac:dyDescent="0.3">
      <c r="B32" s="130"/>
      <c r="C32" s="506">
        <v>2004</v>
      </c>
      <c r="D32" s="507">
        <f t="shared" si="0"/>
        <v>12</v>
      </c>
      <c r="E32" s="508" t="str">
        <f>IF(RRQ!$H32=RRQ!$G32,"oui","")</f>
        <v>oui</v>
      </c>
      <c r="F32" s="509">
        <v>3500</v>
      </c>
      <c r="G32" s="509">
        <v>40500</v>
      </c>
      <c r="H32" s="562">
        <v>40500</v>
      </c>
      <c r="I32" s="509">
        <f>RRQ!$H32*AVERAGE(G$12:G$16)/RRQ!$G32</f>
        <v>64060</v>
      </c>
      <c r="J32" s="565"/>
      <c r="K32" s="52">
        <f>RRQ!$J32/12*RRQ!$I32</f>
        <v>0</v>
      </c>
      <c r="L32" s="122"/>
      <c r="M32" s="105">
        <f>IF(M30&gt;=1,M24*0.006*M30,0)</f>
        <v>0</v>
      </c>
      <c r="N32" s="122" t="s">
        <v>28</v>
      </c>
      <c r="O32" s="122"/>
      <c r="P32" s="122"/>
      <c r="Q32" s="122"/>
      <c r="R32" s="122"/>
      <c r="S32" s="123"/>
      <c r="U32" s="42"/>
      <c r="V32" s="495"/>
    </row>
    <row r="33" spans="2:22" x14ac:dyDescent="0.3">
      <c r="B33" s="130"/>
      <c r="C33" s="506">
        <v>2003</v>
      </c>
      <c r="D33" s="507">
        <f t="shared" si="0"/>
        <v>12</v>
      </c>
      <c r="E33" s="508" t="str">
        <f>IF(RRQ!$H33=RRQ!$G33,"oui","")</f>
        <v>oui</v>
      </c>
      <c r="F33" s="509">
        <v>3500</v>
      </c>
      <c r="G33" s="509">
        <v>39900</v>
      </c>
      <c r="H33" s="562">
        <v>39900</v>
      </c>
      <c r="I33" s="509">
        <f>RRQ!$H33*AVERAGE(G$12:G$16)/RRQ!$G33</f>
        <v>64060</v>
      </c>
      <c r="J33" s="565"/>
      <c r="K33" s="52">
        <f>RRQ!$J33/12*RRQ!$I33</f>
        <v>0</v>
      </c>
      <c r="L33" s="122"/>
      <c r="M33" s="568"/>
      <c r="N33" s="122" t="s">
        <v>452</v>
      </c>
      <c r="O33" s="122"/>
      <c r="P33" s="122"/>
      <c r="Q33" s="122"/>
      <c r="R33" s="122"/>
      <c r="S33" s="123"/>
      <c r="U33" s="42"/>
      <c r="V33" s="495"/>
    </row>
    <row r="34" spans="2:22" x14ac:dyDescent="0.3">
      <c r="B34" s="130"/>
      <c r="C34" s="506">
        <v>2002</v>
      </c>
      <c r="D34" s="507">
        <f t="shared" si="0"/>
        <v>12</v>
      </c>
      <c r="E34" s="508" t="str">
        <f>IF(RRQ!$H34=RRQ!$G34,"oui","")</f>
        <v>oui</v>
      </c>
      <c r="F34" s="509">
        <v>3500</v>
      </c>
      <c r="G34" s="509">
        <v>39100</v>
      </c>
      <c r="H34" s="562">
        <v>39100</v>
      </c>
      <c r="I34" s="509">
        <f>RRQ!$H34*AVERAGE(G$12:G$16)/RRQ!$G34</f>
        <v>64060</v>
      </c>
      <c r="J34" s="565"/>
      <c r="K34" s="52">
        <f>RRQ!$J34/12*RRQ!$I34</f>
        <v>0</v>
      </c>
      <c r="L34" s="122"/>
      <c r="M34" s="491">
        <f>M33*0.007</f>
        <v>0</v>
      </c>
      <c r="N34" s="122" t="s">
        <v>429</v>
      </c>
      <c r="O34" s="122"/>
      <c r="P34" s="122"/>
      <c r="Q34" s="122"/>
      <c r="R34" s="122"/>
      <c r="S34" s="525"/>
      <c r="U34" s="42"/>
      <c r="V34" s="495"/>
    </row>
    <row r="35" spans="2:22" ht="15" thickBot="1" x14ac:dyDescent="0.35">
      <c r="B35" s="130"/>
      <c r="C35" s="506">
        <v>2001</v>
      </c>
      <c r="D35" s="507">
        <f t="shared" si="0"/>
        <v>12</v>
      </c>
      <c r="E35" s="508" t="str">
        <f>IF(RRQ!$H35=RRQ!$G35,"oui","")</f>
        <v>oui</v>
      </c>
      <c r="F35" s="509">
        <v>3500</v>
      </c>
      <c r="G35" s="509">
        <v>38300</v>
      </c>
      <c r="H35" s="562">
        <v>38300</v>
      </c>
      <c r="I35" s="509">
        <f>RRQ!$H35*AVERAGE(G$12:G$16)/RRQ!$G35</f>
        <v>64060</v>
      </c>
      <c r="J35" s="565"/>
      <c r="K35" s="52">
        <f>RRQ!$J35/12*RRQ!$I35</f>
        <v>0</v>
      </c>
      <c r="L35" s="122"/>
      <c r="M35" s="490">
        <f>M24*M33*0.007</f>
        <v>0</v>
      </c>
      <c r="N35" s="122" t="s">
        <v>34</v>
      </c>
      <c r="O35" s="122"/>
      <c r="P35" s="122"/>
      <c r="Q35" s="528"/>
      <c r="R35" s="122"/>
      <c r="S35" s="123"/>
    </row>
    <row r="36" spans="2:22" ht="15" thickTop="1" x14ac:dyDescent="0.3">
      <c r="B36" s="130"/>
      <c r="C36" s="506">
        <v>2000</v>
      </c>
      <c r="D36" s="507">
        <f t="shared" si="0"/>
        <v>12</v>
      </c>
      <c r="E36" s="508" t="str">
        <f>IF(RRQ!$H36=RRQ!$G36,"oui","")</f>
        <v>oui</v>
      </c>
      <c r="F36" s="509">
        <v>3500</v>
      </c>
      <c r="G36" s="509">
        <v>37600</v>
      </c>
      <c r="H36" s="562">
        <v>37600</v>
      </c>
      <c r="I36" s="509">
        <f>RRQ!$H36*AVERAGE(G$12:G$16)/RRQ!$G36</f>
        <v>64060</v>
      </c>
      <c r="J36" s="565"/>
      <c r="K36" s="52">
        <f>RRQ!$J36/12*RRQ!$I36</f>
        <v>0</v>
      </c>
      <c r="L36" s="122"/>
      <c r="M36" s="498">
        <f>IF(OR(M30+M33=M30,M30+M33=M33),M24-M32+M35,"")</f>
        <v>1325.2661332852686</v>
      </c>
      <c r="N36" s="122" t="s">
        <v>35</v>
      </c>
      <c r="O36" s="122"/>
      <c r="P36" s="122"/>
      <c r="Q36" s="122"/>
      <c r="R36" s="122"/>
      <c r="S36" s="123"/>
      <c r="U36" s="42"/>
      <c r="V36" s="495"/>
    </row>
    <row r="37" spans="2:22" ht="16.2" thickBot="1" x14ac:dyDescent="0.35">
      <c r="B37" s="130"/>
      <c r="C37" s="506">
        <v>1999</v>
      </c>
      <c r="D37" s="507">
        <f t="shared" si="0"/>
        <v>12</v>
      </c>
      <c r="E37" s="508" t="str">
        <f>IF(RRQ!$H37=RRQ!$G37,"oui","")</f>
        <v>oui</v>
      </c>
      <c r="F37" s="509">
        <v>3500</v>
      </c>
      <c r="G37" s="509">
        <v>37400</v>
      </c>
      <c r="H37" s="562">
        <v>37400</v>
      </c>
      <c r="I37" s="509">
        <f>RRQ!$H37*AVERAGE(G$12:G$16)/RRQ!$G37</f>
        <v>64060</v>
      </c>
      <c r="J37" s="565"/>
      <c r="K37" s="52">
        <f>RRQ!$J37/12*RRQ!$I37</f>
        <v>0</v>
      </c>
      <c r="L37" s="122"/>
      <c r="M37" s="499">
        <f>IF(OR(M30+M33=M30,M30+M33=M33),M36*12,"")</f>
        <v>15903.193599423223</v>
      </c>
      <c r="N37" s="523" t="s">
        <v>444</v>
      </c>
      <c r="O37" s="122"/>
      <c r="P37" s="122"/>
      <c r="Q37" s="122"/>
      <c r="R37" s="122"/>
      <c r="S37" s="123"/>
    </row>
    <row r="38" spans="2:22" ht="15" thickTop="1" x14ac:dyDescent="0.3">
      <c r="B38" s="130"/>
      <c r="C38" s="506">
        <v>1998</v>
      </c>
      <c r="D38" s="507">
        <f t="shared" si="0"/>
        <v>12</v>
      </c>
      <c r="E38" s="508" t="str">
        <f>IF(RRQ!$H38=RRQ!$G38,"oui","")</f>
        <v>oui</v>
      </c>
      <c r="F38" s="509">
        <v>3500</v>
      </c>
      <c r="G38" s="509">
        <v>36900</v>
      </c>
      <c r="H38" s="562">
        <v>36900</v>
      </c>
      <c r="I38" s="509">
        <f>RRQ!$H38*AVERAGE(G$12:G$16)/RRQ!$G38</f>
        <v>64060</v>
      </c>
      <c r="J38" s="565"/>
      <c r="K38" s="52">
        <f>RRQ!$J38/12*RRQ!$I38</f>
        <v>0</v>
      </c>
      <c r="L38" s="122"/>
      <c r="M38" s="529" t="str">
        <f>IF(OR(M30+M33=M30,M30+M33=M33),"","ERREUR : Il ne peut y avoir à la fois une réduction et une bonification")</f>
        <v/>
      </c>
      <c r="N38" s="122"/>
      <c r="O38" s="530"/>
      <c r="P38" s="122"/>
      <c r="Q38" s="122"/>
      <c r="R38" s="122"/>
      <c r="S38" s="123"/>
      <c r="U38" s="42"/>
    </row>
    <row r="39" spans="2:22" x14ac:dyDescent="0.3">
      <c r="B39" s="130"/>
      <c r="C39" s="506">
        <v>1997</v>
      </c>
      <c r="D39" s="507">
        <f t="shared" si="0"/>
        <v>12</v>
      </c>
      <c r="E39" s="508" t="str">
        <f>IF(RRQ!$H39=RRQ!$G39,"oui","")</f>
        <v>oui</v>
      </c>
      <c r="F39" s="509">
        <v>3500</v>
      </c>
      <c r="G39" s="509">
        <v>35800</v>
      </c>
      <c r="H39" s="562">
        <v>35800</v>
      </c>
      <c r="I39" s="509">
        <f>RRQ!$H39*AVERAGE(G$12:G$16)/RRQ!$G39</f>
        <v>64060</v>
      </c>
      <c r="J39" s="565"/>
      <c r="K39" s="52">
        <f>RRQ!$J39/12*RRQ!$I39</f>
        <v>0</v>
      </c>
      <c r="L39" s="122"/>
      <c r="M39" s="518"/>
      <c r="N39" s="122"/>
      <c r="O39" s="122"/>
      <c r="P39" s="122"/>
      <c r="Q39" s="122"/>
      <c r="R39" s="122"/>
      <c r="S39" s="123"/>
      <c r="U39" s="42"/>
      <c r="V39" s="496"/>
    </row>
    <row r="40" spans="2:22" x14ac:dyDescent="0.3">
      <c r="B40" s="130"/>
      <c r="C40" s="506">
        <v>1996</v>
      </c>
      <c r="D40" s="507">
        <f t="shared" si="0"/>
        <v>12</v>
      </c>
      <c r="E40" s="508" t="str">
        <f>IF(RRQ!$H40=RRQ!$G40,"oui","")</f>
        <v>oui</v>
      </c>
      <c r="F40" s="509">
        <v>3500</v>
      </c>
      <c r="G40" s="509">
        <v>35400</v>
      </c>
      <c r="H40" s="562">
        <v>35400</v>
      </c>
      <c r="I40" s="509">
        <f>RRQ!$H40*AVERAGE(G$12:G$16)/RRQ!$G40</f>
        <v>64060</v>
      </c>
      <c r="J40" s="565"/>
      <c r="K40" s="52">
        <f>RRQ!$J40/12*RRQ!$I40</f>
        <v>0</v>
      </c>
      <c r="L40" s="122"/>
      <c r="M40" s="518"/>
      <c r="N40" s="122"/>
      <c r="O40" s="122"/>
      <c r="P40" s="122"/>
      <c r="Q40" s="517"/>
      <c r="R40" s="122"/>
      <c r="S40" s="123"/>
      <c r="U40" s="42"/>
      <c r="V40" s="495"/>
    </row>
    <row r="41" spans="2:22" x14ac:dyDescent="0.3">
      <c r="B41" s="130"/>
      <c r="C41" s="506">
        <v>1995</v>
      </c>
      <c r="D41" s="507">
        <f t="shared" si="0"/>
        <v>12</v>
      </c>
      <c r="E41" s="508" t="str">
        <f>IF(RRQ!$H41=RRQ!$G41,"oui","")</f>
        <v>oui</v>
      </c>
      <c r="F41" s="509">
        <v>3400</v>
      </c>
      <c r="G41" s="509">
        <v>34900</v>
      </c>
      <c r="H41" s="562">
        <v>34900</v>
      </c>
      <c r="I41" s="509">
        <f>RRQ!$H41*AVERAGE(G$12:G$16)/RRQ!$G41</f>
        <v>64060</v>
      </c>
      <c r="J41" s="565"/>
      <c r="K41" s="52">
        <f>RRQ!$J41/12*RRQ!$I41</f>
        <v>0</v>
      </c>
      <c r="L41" s="122"/>
      <c r="M41" s="517"/>
      <c r="N41" s="122"/>
      <c r="O41" s="122"/>
      <c r="P41" s="122"/>
      <c r="Q41" s="517"/>
      <c r="R41" s="122"/>
      <c r="S41" s="123"/>
      <c r="U41" s="42"/>
      <c r="V41" s="495"/>
    </row>
    <row r="42" spans="2:22" x14ac:dyDescent="0.3">
      <c r="B42" s="130"/>
      <c r="C42" s="506">
        <v>1994</v>
      </c>
      <c r="D42" s="507">
        <f t="shared" si="0"/>
        <v>12</v>
      </c>
      <c r="E42" s="508" t="str">
        <f>IF(RRQ!$H42=RRQ!$G42,"oui","")</f>
        <v>oui</v>
      </c>
      <c r="F42" s="509">
        <v>3400</v>
      </c>
      <c r="G42" s="509">
        <v>34400</v>
      </c>
      <c r="H42" s="562">
        <v>34400</v>
      </c>
      <c r="I42" s="509">
        <f>RRQ!$H42*AVERAGE(G$12:G$16)/RRQ!$G42</f>
        <v>64060</v>
      </c>
      <c r="J42" s="565"/>
      <c r="K42" s="52">
        <f>RRQ!$J42/12*RRQ!$I42</f>
        <v>0</v>
      </c>
      <c r="L42" s="122"/>
      <c r="M42" s="517"/>
      <c r="N42" s="122"/>
      <c r="O42" s="122"/>
      <c r="P42" s="122"/>
      <c r="Q42" s="517"/>
      <c r="R42" s="122"/>
      <c r="S42" s="123"/>
    </row>
    <row r="43" spans="2:22" x14ac:dyDescent="0.3">
      <c r="B43" s="130"/>
      <c r="C43" s="506">
        <v>1993</v>
      </c>
      <c r="D43" s="507">
        <f t="shared" si="0"/>
        <v>12</v>
      </c>
      <c r="E43" s="508" t="str">
        <f>IF(RRQ!$H43=RRQ!$G43,"oui","")</f>
        <v/>
      </c>
      <c r="F43" s="509">
        <v>3300</v>
      </c>
      <c r="G43" s="509">
        <v>33400</v>
      </c>
      <c r="H43" s="562">
        <v>28000</v>
      </c>
      <c r="I43" s="509">
        <f>RRQ!$H43*AVERAGE(G$12:G$16)/RRQ!$G43</f>
        <v>53702.99401197605</v>
      </c>
      <c r="J43" s="565"/>
      <c r="K43" s="52">
        <f>RRQ!$J43/12*RRQ!$I43</f>
        <v>0</v>
      </c>
      <c r="L43" s="122"/>
      <c r="M43" s="122"/>
      <c r="N43" s="122"/>
      <c r="O43" s="122"/>
      <c r="P43" s="122"/>
      <c r="Q43" s="122"/>
      <c r="R43" s="122"/>
      <c r="S43" s="123"/>
      <c r="U43" s="42"/>
      <c r="V43" s="497"/>
    </row>
    <row r="44" spans="2:22" x14ac:dyDescent="0.3">
      <c r="B44" s="130"/>
      <c r="C44" s="506">
        <v>1992</v>
      </c>
      <c r="D44" s="507">
        <f t="shared" ref="D44:D70" si="1">IF($C44=(YEAR(M$12)+18),12-MONTH(M$12),IF($C44&gt;(YEAR(M$12)+18),12,0))</f>
        <v>12</v>
      </c>
      <c r="E44" s="508" t="str">
        <f>IF(RRQ!$H44=RRQ!$G44,"oui","")</f>
        <v/>
      </c>
      <c r="F44" s="509">
        <v>3200</v>
      </c>
      <c r="G44" s="509">
        <v>32200</v>
      </c>
      <c r="H44" s="562">
        <v>28000</v>
      </c>
      <c r="I44" s="509">
        <f>RRQ!$H44*AVERAGE(G$12:G$16)/RRQ!$G44</f>
        <v>55704.34782608696</v>
      </c>
      <c r="J44" s="565">
        <v>6</v>
      </c>
      <c r="K44" s="52">
        <f>RRQ!$J44/12*RRQ!$I44</f>
        <v>27852.17391304348</v>
      </c>
      <c r="L44" s="518"/>
      <c r="M44" s="518"/>
      <c r="N44" s="122"/>
      <c r="O44" s="518"/>
      <c r="P44" s="518"/>
      <c r="Q44" s="518"/>
      <c r="R44" s="122"/>
      <c r="S44" s="123"/>
    </row>
    <row r="45" spans="2:22" x14ac:dyDescent="0.3">
      <c r="B45" s="130"/>
      <c r="C45" s="506">
        <v>1991</v>
      </c>
      <c r="D45" s="507">
        <f t="shared" si="1"/>
        <v>12</v>
      </c>
      <c r="E45" s="508" t="str">
        <f>IF(RRQ!$H45=RRQ!$G45,"oui","")</f>
        <v/>
      </c>
      <c r="F45" s="509">
        <v>3000</v>
      </c>
      <c r="G45" s="509">
        <v>30500</v>
      </c>
      <c r="H45" s="562">
        <v>28000</v>
      </c>
      <c r="I45" s="509">
        <f>RRQ!$H45*AVERAGE(G$12:G$16)/RRQ!$G45</f>
        <v>58809.180327868853</v>
      </c>
      <c r="J45" s="565">
        <v>12</v>
      </c>
      <c r="K45" s="52">
        <f>RRQ!$J45/12*RRQ!$I45</f>
        <v>58809.180327868853</v>
      </c>
      <c r="L45" s="518"/>
      <c r="M45" s="517"/>
      <c r="N45" s="122"/>
      <c r="O45" s="518"/>
      <c r="P45" s="518"/>
      <c r="Q45" s="518"/>
      <c r="R45" s="122"/>
      <c r="S45" s="123"/>
      <c r="U45" s="198"/>
    </row>
    <row r="46" spans="2:22" x14ac:dyDescent="0.3">
      <c r="B46" s="130"/>
      <c r="C46" s="506">
        <v>1990</v>
      </c>
      <c r="D46" s="507">
        <f t="shared" si="1"/>
        <v>12</v>
      </c>
      <c r="E46" s="508" t="str">
        <f>IF(RRQ!$H46=RRQ!$G46,"oui","")</f>
        <v/>
      </c>
      <c r="F46" s="509">
        <v>2800</v>
      </c>
      <c r="G46" s="509">
        <v>28900</v>
      </c>
      <c r="H46" s="562">
        <v>26000</v>
      </c>
      <c r="I46" s="509">
        <f>RRQ!$H46*AVERAGE(G$12:G$16)/RRQ!$G46</f>
        <v>57631.833910034606</v>
      </c>
      <c r="J46" s="565">
        <v>12</v>
      </c>
      <c r="K46" s="52">
        <f>RRQ!$J46/12*RRQ!$I46</f>
        <v>57631.833910034606</v>
      </c>
      <c r="L46" s="518"/>
      <c r="M46" s="517"/>
      <c r="N46" s="122"/>
      <c r="O46" s="518"/>
      <c r="P46" s="518"/>
      <c r="Q46" s="518"/>
      <c r="R46" s="122"/>
      <c r="S46" s="123"/>
    </row>
    <row r="47" spans="2:22" x14ac:dyDescent="0.3">
      <c r="B47" s="130"/>
      <c r="C47" s="506">
        <v>1989</v>
      </c>
      <c r="D47" s="507">
        <f t="shared" si="1"/>
        <v>12</v>
      </c>
      <c r="E47" s="508" t="str">
        <f>IF(RRQ!$H47=RRQ!$G47,"oui","")</f>
        <v/>
      </c>
      <c r="F47" s="509">
        <v>2700</v>
      </c>
      <c r="G47" s="509">
        <v>27700</v>
      </c>
      <c r="H47" s="562">
        <v>25000</v>
      </c>
      <c r="I47" s="509">
        <f>RRQ!$H47*AVERAGE(G$12:G$16)/RRQ!$G47</f>
        <v>57815.884476534295</v>
      </c>
      <c r="J47" s="565">
        <v>12</v>
      </c>
      <c r="K47" s="52">
        <f>RRQ!$J47/12*RRQ!$I47</f>
        <v>57815.884476534295</v>
      </c>
      <c r="L47" s="122"/>
      <c r="M47" s="122"/>
      <c r="N47" s="517"/>
      <c r="O47" s="122"/>
      <c r="P47" s="122"/>
      <c r="Q47" s="122"/>
      <c r="R47" s="122"/>
      <c r="S47" s="123"/>
    </row>
    <row r="48" spans="2:22" x14ac:dyDescent="0.3">
      <c r="B48" s="130"/>
      <c r="C48" s="506">
        <v>1988</v>
      </c>
      <c r="D48" s="507">
        <f t="shared" si="1"/>
        <v>12</v>
      </c>
      <c r="E48" s="508" t="str">
        <f>IF(RRQ!$H48=RRQ!$G48,"oui","")</f>
        <v/>
      </c>
      <c r="F48" s="509">
        <v>2600</v>
      </c>
      <c r="G48" s="509">
        <v>26500</v>
      </c>
      <c r="H48" s="562">
        <v>0</v>
      </c>
      <c r="I48" s="509">
        <f>RRQ!$H48*AVERAGE(G$12:G$16)/RRQ!$G48</f>
        <v>0</v>
      </c>
      <c r="J48" s="565">
        <v>12</v>
      </c>
      <c r="K48" s="52">
        <f>RRQ!$J48/12*RRQ!$I48</f>
        <v>0</v>
      </c>
      <c r="L48" s="122"/>
      <c r="M48" s="122"/>
      <c r="N48" s="517"/>
      <c r="O48" s="517"/>
      <c r="P48" s="122"/>
      <c r="Q48" s="122"/>
      <c r="R48" s="122"/>
      <c r="S48" s="123"/>
    </row>
    <row r="49" spans="2:19" x14ac:dyDescent="0.3">
      <c r="B49" s="130"/>
      <c r="C49" s="506">
        <v>1987</v>
      </c>
      <c r="D49" s="507">
        <f t="shared" si="1"/>
        <v>12</v>
      </c>
      <c r="E49" s="508" t="str">
        <f>IF(RRQ!$H49=RRQ!$G49,"oui","")</f>
        <v/>
      </c>
      <c r="F49" s="509">
        <v>2500</v>
      </c>
      <c r="G49" s="509">
        <v>25900</v>
      </c>
      <c r="H49" s="562">
        <v>0</v>
      </c>
      <c r="I49" s="509">
        <f>RRQ!$H49*AVERAGE(G$12:G$16)/RRQ!$G49</f>
        <v>0</v>
      </c>
      <c r="J49" s="565">
        <v>12</v>
      </c>
      <c r="K49" s="52">
        <f>RRQ!$J49/12*RRQ!$I49</f>
        <v>0</v>
      </c>
      <c r="L49" s="122"/>
      <c r="M49" s="122"/>
      <c r="N49" s="122"/>
      <c r="O49" s="122"/>
      <c r="P49" s="122"/>
      <c r="Q49" s="122"/>
      <c r="R49" s="122"/>
      <c r="S49" s="123"/>
    </row>
    <row r="50" spans="2:19" x14ac:dyDescent="0.3">
      <c r="B50" s="130"/>
      <c r="C50" s="506">
        <v>1986</v>
      </c>
      <c r="D50" s="507">
        <f t="shared" si="1"/>
        <v>3</v>
      </c>
      <c r="E50" s="508" t="str">
        <f>IF(RRQ!$H50=RRQ!$G50,"oui","")</f>
        <v/>
      </c>
      <c r="F50" s="509">
        <v>2500</v>
      </c>
      <c r="G50" s="509">
        <v>25800</v>
      </c>
      <c r="H50" s="562">
        <v>0</v>
      </c>
      <c r="I50" s="509">
        <f>RRQ!$H50*AVERAGE(G$12:G$16)/RRQ!$G50</f>
        <v>0</v>
      </c>
      <c r="J50" s="565">
        <v>3</v>
      </c>
      <c r="K50" s="52">
        <f>RRQ!$J50/12*RRQ!$I50</f>
        <v>0</v>
      </c>
      <c r="L50" s="122"/>
      <c r="M50" s="122"/>
      <c r="N50" s="122"/>
      <c r="O50" s="122"/>
      <c r="P50" s="122"/>
      <c r="Q50" s="122"/>
      <c r="R50" s="122"/>
      <c r="S50" s="123"/>
    </row>
    <row r="51" spans="2:19" x14ac:dyDescent="0.3">
      <c r="B51" s="130"/>
      <c r="C51" s="506">
        <v>1985</v>
      </c>
      <c r="D51" s="507">
        <f t="shared" si="1"/>
        <v>0</v>
      </c>
      <c r="E51" s="508" t="str">
        <f>IF(RRQ!$H51=RRQ!$G51,"oui","")</f>
        <v/>
      </c>
      <c r="F51" s="509">
        <v>2300</v>
      </c>
      <c r="G51" s="509">
        <v>23400</v>
      </c>
      <c r="H51" s="562">
        <v>0</v>
      </c>
      <c r="I51" s="509">
        <f>RRQ!$H51*AVERAGE(G$12:G$16)/RRQ!$G51</f>
        <v>0</v>
      </c>
      <c r="J51" s="565"/>
      <c r="K51" s="52">
        <f>RRQ!$J51/12*RRQ!$I51</f>
        <v>0</v>
      </c>
      <c r="L51" s="122"/>
      <c r="M51" s="517"/>
      <c r="N51" s="122"/>
      <c r="O51" s="122"/>
      <c r="P51" s="122"/>
      <c r="Q51" s="122"/>
      <c r="R51" s="122"/>
      <c r="S51" s="123"/>
    </row>
    <row r="52" spans="2:19" x14ac:dyDescent="0.3">
      <c r="B52" s="130"/>
      <c r="C52" s="506">
        <v>1984</v>
      </c>
      <c r="D52" s="507">
        <f t="shared" si="1"/>
        <v>0</v>
      </c>
      <c r="E52" s="508" t="str">
        <f>IF(RRQ!$H52=RRQ!$G52,"oui","")</f>
        <v/>
      </c>
      <c r="F52" s="509">
        <v>2000</v>
      </c>
      <c r="G52" s="509">
        <v>20800</v>
      </c>
      <c r="H52" s="562">
        <v>0</v>
      </c>
      <c r="I52" s="509">
        <f>RRQ!$H52*AVERAGE(G$12:G$16)/RRQ!$G52</f>
        <v>0</v>
      </c>
      <c r="J52" s="565"/>
      <c r="K52" s="52">
        <f>RRQ!$J52/12*RRQ!$I52</f>
        <v>0</v>
      </c>
      <c r="L52" s="122"/>
      <c r="M52" s="517"/>
      <c r="N52" s="122"/>
      <c r="O52" s="122"/>
      <c r="P52" s="122"/>
      <c r="Q52" s="122"/>
      <c r="R52" s="122"/>
      <c r="S52" s="123"/>
    </row>
    <row r="53" spans="2:19" x14ac:dyDescent="0.3">
      <c r="B53" s="130"/>
      <c r="C53" s="506">
        <v>1983</v>
      </c>
      <c r="D53" s="507">
        <f t="shared" si="1"/>
        <v>0</v>
      </c>
      <c r="E53" s="508" t="str">
        <f>IF(RRQ!$H53=RRQ!$G53,"oui","")</f>
        <v/>
      </c>
      <c r="F53" s="509">
        <v>1800</v>
      </c>
      <c r="G53" s="509">
        <v>18500</v>
      </c>
      <c r="H53" s="562">
        <v>0</v>
      </c>
      <c r="I53" s="509">
        <f>RRQ!$H53*AVERAGE(G$12:G$16)/RRQ!$G53</f>
        <v>0</v>
      </c>
      <c r="J53" s="565"/>
      <c r="K53" s="52">
        <f>RRQ!$J53/12*RRQ!$I53</f>
        <v>0</v>
      </c>
      <c r="L53" s="122"/>
      <c r="M53" s="517"/>
      <c r="N53" s="122"/>
      <c r="O53" s="122"/>
      <c r="P53" s="122"/>
      <c r="Q53" s="122"/>
      <c r="R53" s="122"/>
      <c r="S53" s="123"/>
    </row>
    <row r="54" spans="2:19" x14ac:dyDescent="0.3">
      <c r="B54" s="130"/>
      <c r="C54" s="506">
        <v>1982</v>
      </c>
      <c r="D54" s="507">
        <f t="shared" si="1"/>
        <v>0</v>
      </c>
      <c r="E54" s="508" t="str">
        <f>IF(RRQ!$H54=RRQ!$G54,"oui","")</f>
        <v/>
      </c>
      <c r="F54" s="509">
        <v>1600</v>
      </c>
      <c r="G54" s="509">
        <v>16500</v>
      </c>
      <c r="H54" s="562">
        <v>0</v>
      </c>
      <c r="I54" s="509">
        <f>RRQ!$H54*AVERAGE(G$12:G$16)/RRQ!$G54</f>
        <v>0</v>
      </c>
      <c r="J54" s="565"/>
      <c r="K54" s="52">
        <f>RRQ!$J54/12*RRQ!$I54</f>
        <v>0</v>
      </c>
      <c r="L54" s="122"/>
      <c r="M54" s="122"/>
      <c r="N54" s="122"/>
      <c r="O54" s="122"/>
      <c r="P54" s="122"/>
      <c r="Q54" s="122"/>
      <c r="R54" s="122"/>
      <c r="S54" s="123"/>
    </row>
    <row r="55" spans="2:19" x14ac:dyDescent="0.3">
      <c r="B55" s="130"/>
      <c r="C55" s="506">
        <v>1981</v>
      </c>
      <c r="D55" s="507">
        <f t="shared" si="1"/>
        <v>0</v>
      </c>
      <c r="E55" s="508" t="str">
        <f>IF(RRQ!$H55=RRQ!$G55,"oui","")</f>
        <v/>
      </c>
      <c r="F55" s="509">
        <v>1400</v>
      </c>
      <c r="G55" s="509">
        <v>14700</v>
      </c>
      <c r="H55" s="562">
        <v>0</v>
      </c>
      <c r="I55" s="509">
        <f>RRQ!$H55*AVERAGE(G$12:G$16)/RRQ!$G55</f>
        <v>0</v>
      </c>
      <c r="J55" s="565"/>
      <c r="K55" s="52">
        <f>RRQ!$J55/12*RRQ!$I55</f>
        <v>0</v>
      </c>
      <c r="L55" s="122"/>
      <c r="M55" s="122"/>
      <c r="N55" s="122"/>
      <c r="O55" s="122"/>
      <c r="P55" s="122"/>
      <c r="Q55" s="122"/>
      <c r="R55" s="122"/>
      <c r="S55" s="123"/>
    </row>
    <row r="56" spans="2:19" x14ac:dyDescent="0.3">
      <c r="B56" s="130"/>
      <c r="C56" s="506">
        <v>1980</v>
      </c>
      <c r="D56" s="507">
        <f t="shared" si="1"/>
        <v>0</v>
      </c>
      <c r="E56" s="508" t="str">
        <f>IF(RRQ!$H56=RRQ!$G56,"oui","")</f>
        <v/>
      </c>
      <c r="F56" s="509">
        <v>1300</v>
      </c>
      <c r="G56" s="509">
        <v>13100</v>
      </c>
      <c r="H56" s="562">
        <v>0</v>
      </c>
      <c r="I56" s="509">
        <f>RRQ!$H56*AVERAGE(G$12:G$16)/RRQ!$G56</f>
        <v>0</v>
      </c>
      <c r="J56" s="565"/>
      <c r="K56" s="52">
        <f>RRQ!$J56/12*RRQ!$I56</f>
        <v>0</v>
      </c>
      <c r="L56" s="122"/>
      <c r="M56" s="122"/>
      <c r="N56" s="122"/>
      <c r="O56" s="122"/>
      <c r="P56" s="122"/>
      <c r="Q56" s="122"/>
      <c r="R56" s="122"/>
      <c r="S56" s="123"/>
    </row>
    <row r="57" spans="2:19" x14ac:dyDescent="0.3">
      <c r="B57" s="130"/>
      <c r="C57" s="506">
        <v>1979</v>
      </c>
      <c r="D57" s="507">
        <f t="shared" si="1"/>
        <v>0</v>
      </c>
      <c r="E57" s="508" t="str">
        <f>IF(RRQ!$H57=RRQ!$G57,"oui","")</f>
        <v/>
      </c>
      <c r="F57" s="509">
        <v>1100</v>
      </c>
      <c r="G57" s="509">
        <v>11700</v>
      </c>
      <c r="H57" s="562">
        <v>0</v>
      </c>
      <c r="I57" s="509">
        <f>RRQ!$H57*AVERAGE(G$12:G$16)/RRQ!$G57</f>
        <v>0</v>
      </c>
      <c r="J57" s="565"/>
      <c r="K57" s="52">
        <f>RRQ!$J57/12*RRQ!$I57</f>
        <v>0</v>
      </c>
      <c r="L57" s="122"/>
      <c r="M57" s="517"/>
      <c r="N57" s="122"/>
      <c r="O57" s="122"/>
      <c r="P57" s="122"/>
      <c r="Q57" s="122"/>
      <c r="R57" s="122"/>
      <c r="S57" s="123"/>
    </row>
    <row r="58" spans="2:19" x14ac:dyDescent="0.3">
      <c r="B58" s="130"/>
      <c r="C58" s="506">
        <v>1978</v>
      </c>
      <c r="D58" s="507">
        <f t="shared" si="1"/>
        <v>0</v>
      </c>
      <c r="E58" s="508" t="str">
        <f>IF(RRQ!$H58=RRQ!$G58,"oui","")</f>
        <v/>
      </c>
      <c r="F58" s="509">
        <v>900</v>
      </c>
      <c r="G58" s="509">
        <v>10400</v>
      </c>
      <c r="H58" s="562">
        <v>0</v>
      </c>
      <c r="I58" s="509">
        <f>RRQ!$H58*AVERAGE(G$12:G$16)/RRQ!$G58</f>
        <v>0</v>
      </c>
      <c r="J58" s="565"/>
      <c r="K58" s="52">
        <f>RRQ!$J58/12*RRQ!$I58</f>
        <v>0</v>
      </c>
      <c r="L58" s="122"/>
      <c r="M58" s="122"/>
      <c r="N58" s="122"/>
      <c r="O58" s="122"/>
      <c r="P58" s="122"/>
      <c r="Q58" s="122"/>
      <c r="R58" s="122"/>
      <c r="S58" s="123"/>
    </row>
    <row r="59" spans="2:19" x14ac:dyDescent="0.3">
      <c r="B59" s="130"/>
      <c r="C59" s="506">
        <v>1977</v>
      </c>
      <c r="D59" s="507">
        <f t="shared" si="1"/>
        <v>0</v>
      </c>
      <c r="E59" s="508" t="str">
        <f>IF(RRQ!$H59=RRQ!$G59,"oui","")</f>
        <v/>
      </c>
      <c r="F59" s="509">
        <v>800</v>
      </c>
      <c r="G59" s="509">
        <v>9300</v>
      </c>
      <c r="H59" s="562">
        <v>0</v>
      </c>
      <c r="I59" s="509">
        <f>RRQ!$H59*AVERAGE(G$12:G$16)/RRQ!$G59</f>
        <v>0</v>
      </c>
      <c r="J59" s="565"/>
      <c r="K59" s="52">
        <f>RRQ!$J59/12*RRQ!$I59</f>
        <v>0</v>
      </c>
      <c r="L59" s="122"/>
      <c r="M59" s="517"/>
      <c r="N59" s="122"/>
      <c r="O59" s="122"/>
      <c r="P59" s="122"/>
      <c r="Q59" s="122"/>
      <c r="R59" s="122"/>
      <c r="S59" s="123"/>
    </row>
    <row r="60" spans="2:19" x14ac:dyDescent="0.3">
      <c r="B60" s="130"/>
      <c r="C60" s="506">
        <v>1976</v>
      </c>
      <c r="D60" s="507">
        <f t="shared" si="1"/>
        <v>0</v>
      </c>
      <c r="E60" s="508" t="str">
        <f>IF(RRQ!$H60=RRQ!$G60,"oui","")</f>
        <v/>
      </c>
      <c r="F60" s="509">
        <v>700</v>
      </c>
      <c r="G60" s="509">
        <v>8300</v>
      </c>
      <c r="H60" s="562">
        <v>0</v>
      </c>
      <c r="I60" s="509">
        <f>RRQ!$H60*AVERAGE(G$12:G$16)/RRQ!$G60</f>
        <v>0</v>
      </c>
      <c r="J60" s="565"/>
      <c r="K60" s="52">
        <f>RRQ!$J60/12*RRQ!$I60</f>
        <v>0</v>
      </c>
      <c r="L60" s="122"/>
      <c r="M60" s="122"/>
      <c r="N60" s="122"/>
      <c r="O60" s="122"/>
      <c r="P60" s="122"/>
      <c r="Q60" s="122"/>
      <c r="R60" s="122"/>
      <c r="S60" s="123"/>
    </row>
    <row r="61" spans="2:19" x14ac:dyDescent="0.3">
      <c r="B61" s="130"/>
      <c r="C61" s="506">
        <v>1975</v>
      </c>
      <c r="D61" s="507">
        <f t="shared" si="1"/>
        <v>0</v>
      </c>
      <c r="E61" s="508" t="str">
        <f>IF(RRQ!$H61=RRQ!$G61,"oui","")</f>
        <v/>
      </c>
      <c r="F61" s="509">
        <v>700</v>
      </c>
      <c r="G61" s="509">
        <v>7400</v>
      </c>
      <c r="H61" s="562">
        <v>0</v>
      </c>
      <c r="I61" s="509">
        <f>RRQ!$H61*AVERAGE(G$12:G$16)/RRQ!$G61</f>
        <v>0</v>
      </c>
      <c r="J61" s="565"/>
      <c r="K61" s="52">
        <f>RRQ!$J61/12*RRQ!$I61</f>
        <v>0</v>
      </c>
      <c r="L61" s="122"/>
      <c r="M61" s="517"/>
      <c r="N61" s="122"/>
      <c r="O61" s="122"/>
      <c r="P61" s="122"/>
      <c r="Q61" s="122"/>
      <c r="R61" s="122"/>
      <c r="S61" s="123"/>
    </row>
    <row r="62" spans="2:19" x14ac:dyDescent="0.3">
      <c r="B62" s="130"/>
      <c r="C62" s="506">
        <v>1974</v>
      </c>
      <c r="D62" s="507">
        <f t="shared" si="1"/>
        <v>0</v>
      </c>
      <c r="E62" s="508" t="str">
        <f>IF(RRQ!$H62=RRQ!$G62,"oui","")</f>
        <v/>
      </c>
      <c r="F62" s="509">
        <v>700</v>
      </c>
      <c r="G62" s="509">
        <v>6600</v>
      </c>
      <c r="H62" s="562">
        <v>0</v>
      </c>
      <c r="I62" s="509">
        <f>RRQ!$H62*AVERAGE(G$12:G$16)/RRQ!$G62</f>
        <v>0</v>
      </c>
      <c r="J62" s="565"/>
      <c r="K62" s="52">
        <f>RRQ!$J62/12*RRQ!$I62</f>
        <v>0</v>
      </c>
      <c r="L62" s="122"/>
      <c r="M62" s="122"/>
      <c r="N62" s="122"/>
      <c r="O62" s="122"/>
      <c r="P62" s="122"/>
      <c r="Q62" s="122"/>
      <c r="R62" s="122"/>
      <c r="S62" s="123"/>
    </row>
    <row r="63" spans="2:19" x14ac:dyDescent="0.3">
      <c r="B63" s="130"/>
      <c r="C63" s="506">
        <v>1973</v>
      </c>
      <c r="D63" s="507">
        <f t="shared" si="1"/>
        <v>0</v>
      </c>
      <c r="E63" s="508" t="str">
        <f>IF(RRQ!$H63=RRQ!$G63,"oui","")</f>
        <v/>
      </c>
      <c r="F63" s="509">
        <v>600</v>
      </c>
      <c r="G63" s="509">
        <v>5900</v>
      </c>
      <c r="H63" s="562">
        <v>0</v>
      </c>
      <c r="I63" s="509">
        <f>RRQ!$H63*AVERAGE(G$12:G$16)/RRQ!$G63</f>
        <v>0</v>
      </c>
      <c r="J63" s="565"/>
      <c r="K63" s="52">
        <f>RRQ!$J63/12*RRQ!$I63</f>
        <v>0</v>
      </c>
      <c r="L63" s="122"/>
      <c r="M63" s="517"/>
      <c r="N63" s="122"/>
      <c r="O63" s="122"/>
      <c r="P63" s="122"/>
      <c r="Q63" s="122"/>
      <c r="R63" s="122"/>
      <c r="S63" s="123"/>
    </row>
    <row r="64" spans="2:19" x14ac:dyDescent="0.3">
      <c r="B64" s="130"/>
      <c r="C64" s="506">
        <v>1972</v>
      </c>
      <c r="D64" s="507">
        <f t="shared" si="1"/>
        <v>0</v>
      </c>
      <c r="E64" s="508" t="str">
        <f>IF(RRQ!$H64=RRQ!$G64,"oui","")</f>
        <v/>
      </c>
      <c r="F64" s="509">
        <v>600</v>
      </c>
      <c r="G64" s="509">
        <v>5500</v>
      </c>
      <c r="H64" s="562">
        <v>0</v>
      </c>
      <c r="I64" s="509">
        <f>RRQ!$H64*AVERAGE(G$12:G$16)/RRQ!$G64</f>
        <v>0</v>
      </c>
      <c r="J64" s="565"/>
      <c r="K64" s="52">
        <f>RRQ!$J64/12*RRQ!$I64</f>
        <v>0</v>
      </c>
      <c r="L64" s="518"/>
      <c r="M64" s="517"/>
      <c r="N64" s="122"/>
      <c r="O64" s="122"/>
      <c r="P64" s="122"/>
      <c r="Q64" s="122"/>
      <c r="R64" s="122"/>
      <c r="S64" s="123"/>
    </row>
    <row r="65" spans="2:19" x14ac:dyDescent="0.3">
      <c r="B65" s="130"/>
      <c r="C65" s="506">
        <v>1971</v>
      </c>
      <c r="D65" s="507">
        <f t="shared" si="1"/>
        <v>0</v>
      </c>
      <c r="E65" s="508" t="str">
        <f>IF(RRQ!$H65=RRQ!$G65,"oui","")</f>
        <v/>
      </c>
      <c r="F65" s="509">
        <v>600</v>
      </c>
      <c r="G65" s="509">
        <v>5400</v>
      </c>
      <c r="H65" s="562">
        <v>0</v>
      </c>
      <c r="I65" s="509">
        <f>RRQ!$H65*AVERAGE(G$12:G$16)/RRQ!$G65</f>
        <v>0</v>
      </c>
      <c r="J65" s="565"/>
      <c r="K65" s="52">
        <f>RRQ!$J65/12*RRQ!$I65</f>
        <v>0</v>
      </c>
      <c r="L65" s="122"/>
      <c r="M65" s="122"/>
      <c r="N65" s="122"/>
      <c r="O65" s="122"/>
      <c r="P65" s="122"/>
      <c r="Q65" s="122"/>
      <c r="R65" s="122"/>
      <c r="S65" s="123"/>
    </row>
    <row r="66" spans="2:19" x14ac:dyDescent="0.3">
      <c r="B66" s="130"/>
      <c r="C66" s="506">
        <v>1970</v>
      </c>
      <c r="D66" s="507">
        <f t="shared" si="1"/>
        <v>0</v>
      </c>
      <c r="E66" s="508" t="str">
        <f>IF(RRQ!$H66=RRQ!$G66,"oui","")</f>
        <v/>
      </c>
      <c r="F66" s="509">
        <v>600</v>
      </c>
      <c r="G66" s="509">
        <v>5300</v>
      </c>
      <c r="H66" s="562">
        <v>0</v>
      </c>
      <c r="I66" s="509">
        <f>RRQ!$H66*AVERAGE(G$12:G$16)/RRQ!$G66</f>
        <v>0</v>
      </c>
      <c r="J66" s="565"/>
      <c r="K66" s="52">
        <f>RRQ!$J66/12*RRQ!$I66</f>
        <v>0</v>
      </c>
      <c r="L66" s="122"/>
      <c r="M66" s="517"/>
      <c r="N66" s="122"/>
      <c r="O66" s="122"/>
      <c r="P66" s="122"/>
      <c r="Q66" s="122"/>
      <c r="R66" s="122"/>
      <c r="S66" s="123"/>
    </row>
    <row r="67" spans="2:19" x14ac:dyDescent="0.3">
      <c r="B67" s="130"/>
      <c r="C67" s="506">
        <v>1969</v>
      </c>
      <c r="D67" s="507">
        <f t="shared" si="1"/>
        <v>0</v>
      </c>
      <c r="E67" s="508" t="str">
        <f>IF(RRQ!$H67=RRQ!$G67,"oui","")</f>
        <v/>
      </c>
      <c r="F67" s="509">
        <v>600</v>
      </c>
      <c r="G67" s="509">
        <v>5200</v>
      </c>
      <c r="H67" s="562">
        <v>0</v>
      </c>
      <c r="I67" s="509">
        <f>RRQ!$H67*AVERAGE(G$12:G$16)/RRQ!$G67</f>
        <v>0</v>
      </c>
      <c r="J67" s="565"/>
      <c r="K67" s="52">
        <f>RRQ!$J67/12*RRQ!$I67</f>
        <v>0</v>
      </c>
      <c r="L67" s="122"/>
      <c r="M67" s="517"/>
      <c r="N67" s="122"/>
      <c r="O67" s="122"/>
      <c r="P67" s="122"/>
      <c r="Q67" s="122"/>
      <c r="R67" s="122"/>
      <c r="S67" s="123"/>
    </row>
    <row r="68" spans="2:19" x14ac:dyDescent="0.3">
      <c r="B68" s="130"/>
      <c r="C68" s="506">
        <v>1968</v>
      </c>
      <c r="D68" s="507">
        <f t="shared" si="1"/>
        <v>0</v>
      </c>
      <c r="E68" s="508" t="str">
        <f>IF(RRQ!$H68=RRQ!$G68,"oui","")</f>
        <v/>
      </c>
      <c r="F68" s="509">
        <v>600</v>
      </c>
      <c r="G68" s="509">
        <v>5100</v>
      </c>
      <c r="H68" s="562">
        <v>0</v>
      </c>
      <c r="I68" s="509">
        <f>RRQ!$H68*AVERAGE(G$12:G$16)/RRQ!$G68</f>
        <v>0</v>
      </c>
      <c r="J68" s="565"/>
      <c r="K68" s="52">
        <f>RRQ!$J68/12*RRQ!$I68</f>
        <v>0</v>
      </c>
      <c r="L68" s="122"/>
      <c r="M68" s="135"/>
      <c r="N68" s="122"/>
      <c r="O68" s="122"/>
      <c r="P68" s="122"/>
      <c r="Q68" s="122"/>
      <c r="R68" s="122"/>
      <c r="S68" s="123"/>
    </row>
    <row r="69" spans="2:19" x14ac:dyDescent="0.3">
      <c r="B69" s="130"/>
      <c r="C69" s="506">
        <v>1967</v>
      </c>
      <c r="D69" s="507">
        <f t="shared" si="1"/>
        <v>0</v>
      </c>
      <c r="E69" s="508" t="str">
        <f>IF(RRQ!$H69=RRQ!$G69,"oui","")</f>
        <v/>
      </c>
      <c r="F69" s="509">
        <v>600</v>
      </c>
      <c r="G69" s="509">
        <v>5000</v>
      </c>
      <c r="H69" s="562">
        <v>0</v>
      </c>
      <c r="I69" s="509">
        <f>RRQ!$H69*AVERAGE(G$12:G$16)/RRQ!$G69</f>
        <v>0</v>
      </c>
      <c r="J69" s="565"/>
      <c r="K69" s="52">
        <f>RRQ!$J69/12*RRQ!$I69</f>
        <v>0</v>
      </c>
      <c r="L69" s="122"/>
      <c r="M69" s="135"/>
      <c r="N69" s="122"/>
      <c r="O69" s="122"/>
      <c r="P69" s="122"/>
      <c r="Q69" s="122"/>
      <c r="R69" s="122"/>
      <c r="S69" s="123"/>
    </row>
    <row r="70" spans="2:19" ht="15" thickBot="1" x14ac:dyDescent="0.35">
      <c r="B70" s="130"/>
      <c r="C70" s="510">
        <v>1966</v>
      </c>
      <c r="D70" s="513">
        <f t="shared" si="1"/>
        <v>0</v>
      </c>
      <c r="E70" s="511" t="str">
        <f>IF(RRQ!$H70=RRQ!$G70,"oui","")</f>
        <v/>
      </c>
      <c r="F70" s="512">
        <v>600</v>
      </c>
      <c r="G70" s="512">
        <v>5000</v>
      </c>
      <c r="H70" s="563">
        <v>0</v>
      </c>
      <c r="I70" s="512">
        <f>RRQ!$H70*AVERAGE(G$12:G$16)/RRQ!$G70</f>
        <v>0</v>
      </c>
      <c r="J70" s="566"/>
      <c r="K70" s="492">
        <f>RRQ!$J70/12*RRQ!$I70</f>
        <v>0</v>
      </c>
      <c r="L70" s="122"/>
      <c r="M70" s="122"/>
      <c r="N70" s="122"/>
      <c r="O70" s="122"/>
      <c r="P70" s="122"/>
      <c r="Q70" s="122"/>
      <c r="R70" s="122"/>
      <c r="S70" s="123"/>
    </row>
    <row r="71" spans="2:19" ht="15.6" thickTop="1" thickBot="1" x14ac:dyDescent="0.35">
      <c r="B71" s="138"/>
      <c r="C71" s="125"/>
      <c r="D71" s="125"/>
      <c r="E71" s="125"/>
      <c r="F71" s="125"/>
      <c r="G71" s="125"/>
      <c r="H71" s="531"/>
      <c r="I71" s="125"/>
      <c r="J71" s="125"/>
      <c r="K71" s="125"/>
      <c r="L71" s="125"/>
      <c r="M71" s="532"/>
      <c r="N71" s="125"/>
      <c r="O71" s="125"/>
      <c r="P71" s="125"/>
      <c r="Q71" s="125"/>
      <c r="R71" s="125"/>
      <c r="S71" s="126"/>
    </row>
    <row r="72" spans="2:19" ht="15" thickTop="1" x14ac:dyDescent="0.3">
      <c r="C72" s="1"/>
      <c r="D72" s="1"/>
      <c r="H72" s="1"/>
    </row>
    <row r="73" spans="2:19" ht="23.4" x14ac:dyDescent="0.45">
      <c r="C73" s="576" t="s">
        <v>402</v>
      </c>
      <c r="D73" s="576"/>
      <c r="E73" s="576"/>
      <c r="F73" s="576"/>
      <c r="G73" s="576"/>
      <c r="H73" s="1"/>
    </row>
    <row r="74" spans="2:19" x14ac:dyDescent="0.3">
      <c r="C74" s="577" t="s">
        <v>431</v>
      </c>
      <c r="D74" s="577"/>
      <c r="E74" s="577"/>
      <c r="F74" s="577"/>
      <c r="G74" s="577"/>
      <c r="H74" s="577"/>
    </row>
    <row r="75" spans="2:19" x14ac:dyDescent="0.3">
      <c r="C75" s="577" t="s">
        <v>446</v>
      </c>
      <c r="D75" s="577"/>
      <c r="E75" s="577"/>
      <c r="F75" s="577"/>
      <c r="G75" s="577"/>
      <c r="H75" s="577"/>
    </row>
    <row r="76" spans="2:19" x14ac:dyDescent="0.3">
      <c r="C76" s="578" t="s">
        <v>448</v>
      </c>
      <c r="D76" s="578"/>
      <c r="E76" s="578"/>
      <c r="F76" s="578"/>
      <c r="G76" s="578"/>
      <c r="H76" s="578"/>
      <c r="M76" s="29"/>
    </row>
    <row r="77" spans="2:19" x14ac:dyDescent="0.3">
      <c r="C77" s="577" t="s">
        <v>449</v>
      </c>
      <c r="D77" s="577"/>
      <c r="E77" s="577"/>
      <c r="F77" s="577"/>
      <c r="G77" s="577"/>
      <c r="H77" s="577"/>
      <c r="M77" s="29"/>
    </row>
    <row r="78" spans="2:19" x14ac:dyDescent="0.3">
      <c r="C78" s="1"/>
      <c r="D78" s="1"/>
    </row>
    <row r="90" spans="3:4" x14ac:dyDescent="0.3">
      <c r="C90" s="3"/>
      <c r="D90" s="3"/>
    </row>
  </sheetData>
  <sheetProtection sheet="1" objects="1" scenarios="1"/>
  <mergeCells count="5">
    <mergeCell ref="C73:G73"/>
    <mergeCell ref="C74:H74"/>
    <mergeCell ref="C75:H75"/>
    <mergeCell ref="C76:H76"/>
    <mergeCell ref="C77:H77"/>
  </mergeCells>
  <dataValidations count="2">
    <dataValidation type="whole" allowBlank="1" showInputMessage="1" showErrorMessage="1" errorTitle="ERREUR" error="Doit être un entier inférieur ou égal à 60." sqref="M30" xr:uid="{02DB7677-377C-46A5-B20B-779972755ED0}">
      <formula1>0</formula1>
      <formula2>60</formula2>
    </dataValidation>
    <dataValidation type="whole" allowBlank="1" showInputMessage="1" showErrorMessage="1" errorTitle="ERREUR" error="Doit être un entier inférieure ou égal à 60." sqref="M33" xr:uid="{FE6D1E55-030C-438A-AF5C-06E7516A9D04}">
      <formula1>0</formula1>
      <formula2>84</formula2>
    </dataValidation>
  </dataValidations>
  <hyperlinks>
    <hyperlink ref="C74:G74" r:id="rId1" display="Informations générales sur la rente de retraite du Régime des rentes du Québec" xr:uid="{C787C84A-4692-4E37-ACB5-17F9BBD6DF24}"/>
    <hyperlink ref="C75" r:id="rId2" xr:uid="{DD7BD546-00C9-43DB-915C-812115A6FBE9}"/>
    <hyperlink ref="C76:H76" r:id="rId3" display="Outil SimulR de Retraite Québec" xr:uid="{E43C489F-2E43-437D-B03E-964DE774A9BC}"/>
    <hyperlink ref="C77:H77" r:id="rId4" display="Outil SimulRetraite de Retraite Québec" xr:uid="{8A760F3E-B3A0-463B-85BF-9F310B0FA552}"/>
  </hyperlinks>
  <pageMargins left="0.7" right="0.7" top="0.75" bottom="0.75" header="0.3" footer="0.3"/>
  <pageSetup scale="41" orientation="portrait" r:id="rId5"/>
  <drawing r:id="rId6"/>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A61B6-EBAC-44D2-A785-34E12BA6292C}">
  <sheetPr>
    <tabColor rgb="FF92D050"/>
    <pageSetUpPr fitToPage="1"/>
  </sheetPr>
  <dimension ref="B1:N27"/>
  <sheetViews>
    <sheetView showGridLines="0" workbookViewId="0">
      <selection activeCell="Q8" sqref="Q8"/>
    </sheetView>
  </sheetViews>
  <sheetFormatPr baseColWidth="10" defaultRowHeight="15" customHeight="1" x14ac:dyDescent="0.3"/>
  <cols>
    <col min="1" max="1" width="5.5546875" customWidth="1"/>
    <col min="2" max="2" width="4" customWidth="1"/>
    <col min="3" max="3" width="16.44140625" customWidth="1"/>
    <col min="4" max="4" width="22.21875" customWidth="1"/>
  </cols>
  <sheetData>
    <row r="1" spans="2:14" ht="15" customHeight="1" thickBot="1" x14ac:dyDescent="0.35"/>
    <row r="2" spans="2:14" ht="15" customHeight="1" x14ac:dyDescent="0.3">
      <c r="B2" s="442"/>
      <c r="C2" s="443"/>
      <c r="D2" s="443"/>
      <c r="E2" s="443"/>
      <c r="F2" s="443"/>
      <c r="G2" s="443"/>
      <c r="H2" s="443"/>
      <c r="I2" s="443"/>
      <c r="J2" s="443"/>
      <c r="K2" s="443"/>
      <c r="L2" s="443"/>
      <c r="M2" s="443"/>
      <c r="N2" s="444"/>
    </row>
    <row r="3" spans="2:14" ht="35.549999999999997" customHeight="1" x14ac:dyDescent="0.7">
      <c r="B3" s="445"/>
      <c r="C3" s="441" t="s">
        <v>411</v>
      </c>
      <c r="D3" s="122"/>
      <c r="E3" s="122"/>
      <c r="F3" s="122"/>
      <c r="G3" s="122"/>
      <c r="H3" s="122"/>
      <c r="I3" s="122"/>
      <c r="J3" s="122"/>
      <c r="K3" s="122"/>
      <c r="L3" s="122"/>
      <c r="M3" s="122"/>
      <c r="N3" s="446"/>
    </row>
    <row r="4" spans="2:14" ht="22.2" customHeight="1" x14ac:dyDescent="0.3">
      <c r="B4" s="445"/>
      <c r="C4" s="523"/>
      <c r="D4" s="122"/>
      <c r="E4" s="122"/>
      <c r="F4" s="122"/>
      <c r="G4" s="122"/>
      <c r="H4" s="122"/>
      <c r="I4" s="122"/>
      <c r="J4" s="122"/>
      <c r="K4" s="122"/>
      <c r="L4" s="122"/>
      <c r="M4" s="122"/>
      <c r="N4" s="446"/>
    </row>
    <row r="5" spans="2:14" ht="15" customHeight="1" thickBot="1" x14ac:dyDescent="0.35">
      <c r="B5" s="445"/>
      <c r="C5" s="122"/>
      <c r="D5" s="122"/>
      <c r="E5" s="122"/>
      <c r="F5" s="122"/>
      <c r="G5" s="122"/>
      <c r="H5" s="122"/>
      <c r="I5" s="122"/>
      <c r="J5" s="122"/>
      <c r="K5" s="122"/>
      <c r="L5" s="122"/>
      <c r="M5" s="122"/>
      <c r="N5" s="446"/>
    </row>
    <row r="6" spans="2:14" ht="18" customHeight="1" thickTop="1" thickBot="1" x14ac:dyDescent="0.35">
      <c r="B6" s="445"/>
      <c r="C6" s="570"/>
      <c r="D6" s="432" t="s">
        <v>412</v>
      </c>
      <c r="E6" s="137"/>
      <c r="F6" s="122"/>
      <c r="G6" s="122"/>
      <c r="H6" s="122"/>
      <c r="I6" s="122"/>
      <c r="J6" s="122"/>
      <c r="K6" s="122"/>
      <c r="L6" s="122"/>
      <c r="M6" s="122"/>
      <c r="N6" s="446"/>
    </row>
    <row r="7" spans="2:14" ht="15" customHeight="1" thickTop="1" thickBot="1" x14ac:dyDescent="0.35">
      <c r="B7" s="445"/>
      <c r="C7" s="137"/>
      <c r="D7" s="432"/>
      <c r="E7" s="137"/>
      <c r="F7" s="122"/>
      <c r="G7" s="122"/>
      <c r="H7" s="122"/>
      <c r="I7" s="122"/>
      <c r="J7" s="122"/>
      <c r="K7" s="122"/>
      <c r="L7" s="494"/>
      <c r="M7" s="122"/>
      <c r="N7" s="446"/>
    </row>
    <row r="8" spans="2:14" ht="18" customHeight="1" thickTop="1" thickBot="1" x14ac:dyDescent="0.35">
      <c r="B8" s="445"/>
      <c r="C8" s="570"/>
      <c r="D8" s="432" t="s">
        <v>406</v>
      </c>
      <c r="E8" s="137"/>
      <c r="F8" s="122"/>
      <c r="G8" s="122"/>
      <c r="H8" s="122"/>
      <c r="I8" s="122"/>
      <c r="J8" s="122"/>
      <c r="K8" s="122"/>
      <c r="L8" s="494"/>
      <c r="M8" s="122"/>
      <c r="N8" s="446"/>
    </row>
    <row r="9" spans="2:14" ht="5.25" customHeight="1" thickTop="1" x14ac:dyDescent="0.3">
      <c r="B9" s="445"/>
      <c r="C9" s="472"/>
      <c r="D9" s="432"/>
      <c r="E9" s="137"/>
      <c r="F9" s="122"/>
      <c r="G9" s="122"/>
      <c r="H9" s="122"/>
      <c r="I9" s="122"/>
      <c r="J9" s="122"/>
      <c r="K9" s="122"/>
      <c r="L9" s="122"/>
      <c r="M9" s="122"/>
      <c r="N9" s="446"/>
    </row>
    <row r="10" spans="2:14" ht="15" customHeight="1" x14ac:dyDescent="0.3">
      <c r="B10" s="445"/>
      <c r="C10" s="471" t="str">
        <f>"Vous aurez "&amp;65+TRUNC(C8/12)&amp;" ans et "&amp;MOD(C8,12)&amp;" mois au moment de demander votre PSV."</f>
        <v>Vous aurez 65 ans et 0 mois au moment de demander votre PSV.</v>
      </c>
      <c r="D10" s="432"/>
      <c r="E10" s="137"/>
      <c r="F10" s="122"/>
      <c r="G10" s="122"/>
      <c r="H10" s="122"/>
      <c r="I10" s="122"/>
      <c r="J10" s="122"/>
      <c r="K10" s="122"/>
      <c r="L10" s="122"/>
      <c r="M10" s="122"/>
      <c r="N10" s="446"/>
    </row>
    <row r="11" spans="2:14" ht="15" customHeight="1" thickBot="1" x14ac:dyDescent="0.35">
      <c r="B11" s="445"/>
      <c r="C11" s="137"/>
      <c r="D11" s="432"/>
      <c r="E11" s="137"/>
      <c r="F11" s="122"/>
      <c r="G11" s="122"/>
      <c r="H11" s="122"/>
      <c r="I11" s="122"/>
      <c r="J11" s="122"/>
      <c r="K11" s="122"/>
      <c r="L11" s="122"/>
      <c r="M11" s="122"/>
      <c r="N11" s="446"/>
    </row>
    <row r="12" spans="2:14" ht="19.5" customHeight="1" thickTop="1" thickBot="1" x14ac:dyDescent="0.35">
      <c r="B12" s="445"/>
      <c r="C12" s="533">
        <f>IF(OR(C6="",C6&gt;=40),Support!F31*(1+0.006*C8),(PSV!C6/40*Support!F31*(1+0.006*C8)))*12</f>
        <v>8560.08</v>
      </c>
      <c r="D12" s="432" t="s">
        <v>467</v>
      </c>
      <c r="E12" s="137"/>
      <c r="F12" s="122"/>
      <c r="G12" s="122"/>
      <c r="H12" s="122"/>
      <c r="I12" s="122"/>
      <c r="J12" s="122"/>
      <c r="K12" s="122"/>
      <c r="L12" s="122"/>
      <c r="M12" s="122"/>
      <c r="N12" s="446"/>
    </row>
    <row r="13" spans="2:14" ht="15" customHeight="1" thickTop="1" thickBot="1" x14ac:dyDescent="0.35">
      <c r="B13" s="445"/>
      <c r="C13" s="137"/>
      <c r="D13" s="432"/>
      <c r="E13" s="137"/>
      <c r="F13" s="122"/>
      <c r="G13" s="122"/>
      <c r="H13" s="122"/>
      <c r="I13" s="122"/>
      <c r="J13" s="122"/>
      <c r="K13" s="122"/>
      <c r="L13" s="122"/>
      <c r="M13" s="122"/>
      <c r="N13" s="446"/>
    </row>
    <row r="14" spans="2:14" ht="20.25" customHeight="1" thickTop="1" thickBot="1" x14ac:dyDescent="0.35">
      <c r="B14" s="445"/>
      <c r="C14" s="533">
        <f>C12*1.1</f>
        <v>9416.0880000000016</v>
      </c>
      <c r="D14" s="432" t="s">
        <v>468</v>
      </c>
      <c r="E14" s="137"/>
      <c r="F14" s="122"/>
      <c r="G14" s="122"/>
      <c r="H14" s="122"/>
      <c r="I14" s="122"/>
      <c r="J14" s="122"/>
      <c r="K14" s="122"/>
      <c r="L14" s="122"/>
      <c r="M14" s="122"/>
      <c r="N14" s="446"/>
    </row>
    <row r="15" spans="2:14" ht="15" customHeight="1" thickTop="1" x14ac:dyDescent="0.3">
      <c r="B15" s="445"/>
      <c r="C15" s="122"/>
      <c r="D15" s="122"/>
      <c r="E15" s="122"/>
      <c r="F15" s="122"/>
      <c r="G15" s="122"/>
      <c r="H15" s="122"/>
      <c r="I15" s="122"/>
      <c r="J15" s="122"/>
      <c r="K15" s="122"/>
      <c r="L15" s="122"/>
      <c r="M15" s="122"/>
      <c r="N15" s="446"/>
    </row>
    <row r="16" spans="2:14" ht="15" customHeight="1" x14ac:dyDescent="0.3">
      <c r="B16" s="445"/>
      <c r="C16" s="548" t="s">
        <v>455</v>
      </c>
      <c r="D16" s="122"/>
      <c r="E16" s="122"/>
      <c r="F16" s="122"/>
      <c r="G16" s="122"/>
      <c r="H16" s="122"/>
      <c r="I16" s="122"/>
      <c r="J16" s="122"/>
      <c r="K16" s="122"/>
      <c r="L16" s="122"/>
      <c r="M16" s="122"/>
      <c r="N16" s="446"/>
    </row>
    <row r="17" spans="2:14" ht="15" customHeight="1" x14ac:dyDescent="0.3">
      <c r="B17" s="445"/>
      <c r="C17" s="122"/>
      <c r="D17" s="122"/>
      <c r="E17" s="122"/>
      <c r="F17" s="122"/>
      <c r="G17" s="122"/>
      <c r="H17" s="122"/>
      <c r="I17" s="122"/>
      <c r="J17" s="122"/>
      <c r="K17" s="122"/>
      <c r="L17" s="122"/>
      <c r="M17" s="122"/>
      <c r="N17" s="446"/>
    </row>
    <row r="18" spans="2:14" ht="15" customHeight="1" x14ac:dyDescent="0.3">
      <c r="B18" s="445"/>
      <c r="C18" s="122"/>
      <c r="D18" s="122"/>
      <c r="E18" s="122"/>
      <c r="F18" s="122"/>
      <c r="G18" s="122"/>
      <c r="H18" s="122"/>
      <c r="I18" s="122"/>
      <c r="J18" s="122"/>
      <c r="K18" s="122"/>
      <c r="L18" s="122"/>
      <c r="M18" s="122"/>
      <c r="N18" s="446"/>
    </row>
    <row r="19" spans="2:14" ht="15" customHeight="1" x14ac:dyDescent="0.3">
      <c r="B19" s="445"/>
      <c r="C19" s="122"/>
      <c r="D19" s="122"/>
      <c r="E19" s="122"/>
      <c r="F19" s="122"/>
      <c r="G19" s="122"/>
      <c r="H19" s="122"/>
      <c r="I19" s="122"/>
      <c r="J19" s="122"/>
      <c r="K19" s="122"/>
      <c r="L19" s="122"/>
      <c r="M19" s="122"/>
      <c r="N19" s="446"/>
    </row>
    <row r="20" spans="2:14" ht="15" customHeight="1" x14ac:dyDescent="0.3">
      <c r="B20" s="445"/>
      <c r="C20" s="122"/>
      <c r="D20" s="122"/>
      <c r="E20" s="122"/>
      <c r="F20" s="122"/>
      <c r="G20" s="122"/>
      <c r="H20" s="122"/>
      <c r="I20" s="122"/>
      <c r="J20" s="122"/>
      <c r="K20" s="122"/>
      <c r="L20" s="122"/>
      <c r="M20" s="122"/>
      <c r="N20" s="446"/>
    </row>
    <row r="21" spans="2:14" ht="15" customHeight="1" x14ac:dyDescent="0.3">
      <c r="B21" s="445"/>
      <c r="C21" s="122"/>
      <c r="D21" s="122"/>
      <c r="E21" s="122"/>
      <c r="F21" s="122"/>
      <c r="G21" s="122"/>
      <c r="H21" s="122"/>
      <c r="I21" s="122"/>
      <c r="J21" s="122"/>
      <c r="K21" s="122"/>
      <c r="L21" s="122"/>
      <c r="M21" s="122"/>
      <c r="N21" s="446"/>
    </row>
    <row r="22" spans="2:14" ht="15" customHeight="1" x14ac:dyDescent="0.3">
      <c r="B22" s="445"/>
      <c r="C22" s="122"/>
      <c r="D22" s="122"/>
      <c r="E22" s="122"/>
      <c r="F22" s="122"/>
      <c r="G22" s="122"/>
      <c r="H22" s="122"/>
      <c r="I22" s="122"/>
      <c r="J22" s="122"/>
      <c r="K22" s="122"/>
      <c r="L22" s="122"/>
      <c r="M22" s="122"/>
      <c r="N22" s="446"/>
    </row>
    <row r="23" spans="2:14" ht="15" customHeight="1" thickBot="1" x14ac:dyDescent="0.35">
      <c r="B23" s="447"/>
      <c r="C23" s="448"/>
      <c r="D23" s="448"/>
      <c r="E23" s="448"/>
      <c r="F23" s="448"/>
      <c r="G23" s="448"/>
      <c r="H23" s="448"/>
      <c r="I23" s="448"/>
      <c r="J23" s="448"/>
      <c r="K23" s="448"/>
      <c r="L23" s="448"/>
      <c r="M23" s="448"/>
      <c r="N23" s="449"/>
    </row>
    <row r="24" spans="2:14" ht="29.7" customHeight="1" x14ac:dyDescent="0.3"/>
    <row r="25" spans="2:14" ht="18.75" customHeight="1" x14ac:dyDescent="0.45">
      <c r="B25" s="439" t="s">
        <v>402</v>
      </c>
    </row>
    <row r="26" spans="2:14" ht="15" customHeight="1" x14ac:dyDescent="0.35">
      <c r="B26" s="579" t="s">
        <v>408</v>
      </c>
      <c r="C26" s="579"/>
      <c r="D26" s="579"/>
      <c r="E26" s="579"/>
      <c r="F26" s="579"/>
      <c r="G26" s="579"/>
      <c r="H26" s="579"/>
      <c r="I26" s="579"/>
      <c r="J26" s="579"/>
    </row>
    <row r="27" spans="2:14" ht="15" customHeight="1" x14ac:dyDescent="0.35">
      <c r="B27" s="580" t="s">
        <v>407</v>
      </c>
      <c r="C27" s="580"/>
      <c r="D27" s="580"/>
      <c r="E27" s="534"/>
      <c r="F27" s="43"/>
      <c r="G27" s="43"/>
      <c r="H27" s="43"/>
      <c r="I27" s="43"/>
      <c r="J27" s="43"/>
    </row>
  </sheetData>
  <sheetProtection sheet="1" objects="1" scenarios="1"/>
  <mergeCells count="2">
    <mergeCell ref="B26:J26"/>
    <mergeCell ref="B27:D27"/>
  </mergeCells>
  <dataValidations count="1">
    <dataValidation type="whole" operator="lessThanOrEqual" allowBlank="1" showInputMessage="1" showErrorMessage="1" errorTitle="Erreur" error="Un nombre entier inférieur ou égal à 60 doit être utilisé." sqref="C8:C9" xr:uid="{1D1F9BC3-922C-426B-A702-4A9C1483C59F}">
      <formula1>60</formula1>
    </dataValidation>
  </dataValidations>
  <hyperlinks>
    <hyperlink ref="B27" r:id="rId1" xr:uid="{7BBCDDE9-4269-4A08-9A9F-A55C1CC9DD79}"/>
    <hyperlink ref="B26:J26" r:id="rId2" display="Outil « Estimateur des prestations de la Sécurité de la vieillesse » du Gouvernement du Canada" xr:uid="{A7FDAEA8-DC22-42D6-A822-7D8891D572ED}"/>
  </hyperlinks>
  <pageMargins left="0.70866141732283472" right="0.70866141732283472" top="0.74803149606299213" bottom="0.74803149606299213" header="0.31496062992125984" footer="0.31496062992125984"/>
  <pageSetup scale="81"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4" tint="0.79998168889431442"/>
  </sheetPr>
  <dimension ref="A1:AL38"/>
  <sheetViews>
    <sheetView zoomScaleNormal="100" workbookViewId="0">
      <selection activeCell="O21" sqref="O21"/>
    </sheetView>
  </sheetViews>
  <sheetFormatPr baseColWidth="10" defaultRowHeight="14.4" x14ac:dyDescent="0.3"/>
  <cols>
    <col min="5" max="5" width="12.21875" bestFit="1" customWidth="1"/>
    <col min="30" max="38" width="13.77734375" customWidth="1"/>
    <col min="192" max="192" width="10.5546875" bestFit="1" customWidth="1"/>
    <col min="193" max="193" width="12.21875" bestFit="1" customWidth="1"/>
    <col min="194" max="198" width="12.5546875" bestFit="1" customWidth="1"/>
  </cols>
  <sheetData>
    <row r="1" spans="1:38" x14ac:dyDescent="0.3">
      <c r="A1" s="26" t="s">
        <v>47</v>
      </c>
    </row>
    <row r="2" spans="1:38" ht="15" thickBot="1" x14ac:dyDescent="0.35">
      <c r="C2" s="7" t="s">
        <v>0</v>
      </c>
      <c r="M2" s="41"/>
      <c r="N2" s="41"/>
      <c r="O2" s="41"/>
      <c r="P2" s="41"/>
      <c r="Q2" s="41"/>
      <c r="R2" s="41"/>
      <c r="S2" s="41"/>
      <c r="T2" s="41"/>
      <c r="U2" s="41"/>
      <c r="V2" s="41"/>
      <c r="W2" s="41"/>
      <c r="X2" s="41"/>
    </row>
    <row r="3" spans="1:38" ht="15.6" thickTop="1" thickBot="1" x14ac:dyDescent="0.35">
      <c r="B3" s="24"/>
      <c r="C3" s="23">
        <v>40543</v>
      </c>
      <c r="D3" s="10">
        <v>40695</v>
      </c>
      <c r="E3" s="10">
        <v>41061</v>
      </c>
      <c r="F3" s="10">
        <v>41426</v>
      </c>
      <c r="G3" s="10">
        <v>41791</v>
      </c>
      <c r="H3" s="10">
        <v>42094</v>
      </c>
      <c r="I3" s="10">
        <v>42461</v>
      </c>
      <c r="J3" s="10">
        <v>42826</v>
      </c>
      <c r="K3" s="10">
        <v>43191</v>
      </c>
      <c r="L3" s="10">
        <v>43557</v>
      </c>
      <c r="M3" s="10">
        <v>43922</v>
      </c>
      <c r="N3" s="10">
        <v>44287</v>
      </c>
      <c r="O3" s="10">
        <v>44652</v>
      </c>
      <c r="P3" s="10">
        <v>45017</v>
      </c>
      <c r="Q3" s="326">
        <v>45383</v>
      </c>
      <c r="R3" s="326">
        <v>45748</v>
      </c>
      <c r="S3" s="326">
        <v>46113</v>
      </c>
      <c r="T3" s="326">
        <v>46478</v>
      </c>
      <c r="U3" s="326">
        <v>46844</v>
      </c>
      <c r="V3" s="326">
        <v>47209</v>
      </c>
      <c r="W3" s="326">
        <v>47574</v>
      </c>
      <c r="X3" s="326">
        <v>47939</v>
      </c>
      <c r="Y3" s="11">
        <v>48305</v>
      </c>
      <c r="AA3" s="20"/>
      <c r="AB3" t="s">
        <v>65</v>
      </c>
    </row>
    <row r="4" spans="1:38" ht="15.6" thickTop="1" thickBot="1" x14ac:dyDescent="0.35">
      <c r="B4" s="22" t="s">
        <v>1</v>
      </c>
      <c r="C4" s="18">
        <v>2</v>
      </c>
      <c r="D4" s="18">
        <v>3</v>
      </c>
      <c r="E4" s="18">
        <v>4</v>
      </c>
      <c r="F4" s="18">
        <v>5</v>
      </c>
      <c r="G4" s="18">
        <v>6</v>
      </c>
      <c r="H4" s="18">
        <v>7</v>
      </c>
      <c r="I4" s="18">
        <v>8</v>
      </c>
      <c r="J4" s="18">
        <v>9</v>
      </c>
      <c r="K4" s="18">
        <v>10</v>
      </c>
      <c r="L4" s="18">
        <v>11</v>
      </c>
      <c r="M4" s="18">
        <v>12</v>
      </c>
      <c r="N4" s="18">
        <v>13</v>
      </c>
      <c r="O4" s="18">
        <v>14</v>
      </c>
      <c r="P4" s="18">
        <v>15</v>
      </c>
      <c r="Q4" s="327">
        <v>16</v>
      </c>
      <c r="R4" s="327">
        <v>17</v>
      </c>
      <c r="S4" s="327">
        <v>18</v>
      </c>
      <c r="T4" s="327">
        <v>19</v>
      </c>
      <c r="U4" s="327">
        <v>20</v>
      </c>
      <c r="V4" s="327">
        <v>21</v>
      </c>
      <c r="W4" s="327">
        <v>22</v>
      </c>
      <c r="X4" s="327">
        <v>23</v>
      </c>
      <c r="Y4" s="19">
        <v>24</v>
      </c>
      <c r="AG4" s="7" t="s">
        <v>213</v>
      </c>
    </row>
    <row r="5" spans="1:38" ht="15.6" thickTop="1" thickBot="1" x14ac:dyDescent="0.35">
      <c r="B5" s="16">
        <v>1</v>
      </c>
      <c r="C5" s="17">
        <v>36654</v>
      </c>
      <c r="D5" s="17">
        <v>36929</v>
      </c>
      <c r="E5" s="17">
        <v>37483</v>
      </c>
      <c r="F5" s="17">
        <v>38139</v>
      </c>
      <c r="G5" s="17">
        <v>38902</v>
      </c>
      <c r="H5" s="17">
        <v>39291</v>
      </c>
      <c r="I5" s="17">
        <v>39880</v>
      </c>
      <c r="J5" s="17">
        <v>40578</v>
      </c>
      <c r="K5" s="17">
        <v>41390</v>
      </c>
      <c r="L5" s="17">
        <v>42431</v>
      </c>
      <c r="M5" s="17">
        <v>44721</v>
      </c>
      <c r="N5" s="17">
        <v>45615</v>
      </c>
      <c r="O5" s="17">
        <v>46527</v>
      </c>
      <c r="P5" s="17">
        <v>49319</v>
      </c>
      <c r="Q5" s="428">
        <v>54647</v>
      </c>
      <c r="R5" s="428">
        <v>56068</v>
      </c>
      <c r="S5" s="428">
        <v>57470</v>
      </c>
      <c r="T5" s="428">
        <v>59481</v>
      </c>
      <c r="U5" s="51">
        <v>59481</v>
      </c>
      <c r="V5" s="51">
        <v>59481</v>
      </c>
      <c r="W5" s="51">
        <v>59481</v>
      </c>
      <c r="X5" s="51">
        <v>59481</v>
      </c>
      <c r="Y5" s="323">
        <v>59481</v>
      </c>
      <c r="AA5" s="21"/>
      <c r="AB5" t="s">
        <v>2</v>
      </c>
      <c r="AE5" s="42" t="s">
        <v>214</v>
      </c>
      <c r="AF5" s="333">
        <v>43556</v>
      </c>
      <c r="AG5" s="333">
        <v>43922</v>
      </c>
      <c r="AH5" s="334">
        <v>44287</v>
      </c>
      <c r="AI5" s="334" t="s">
        <v>215</v>
      </c>
      <c r="AJ5" s="334">
        <v>44652</v>
      </c>
      <c r="AK5" s="334">
        <v>44743</v>
      </c>
      <c r="AL5" s="335">
        <v>45015</v>
      </c>
    </row>
    <row r="6" spans="1:38" ht="15.6" thickTop="1" thickBot="1" x14ac:dyDescent="0.35">
      <c r="B6" s="4">
        <v>2</v>
      </c>
      <c r="C6" s="8">
        <v>38212</v>
      </c>
      <c r="D6" s="8">
        <v>38499</v>
      </c>
      <c r="E6" s="8">
        <v>39076</v>
      </c>
      <c r="F6" s="8">
        <v>39760</v>
      </c>
      <c r="G6" s="8">
        <v>40555</v>
      </c>
      <c r="H6" s="8">
        <v>40961</v>
      </c>
      <c r="I6" s="8">
        <v>41575</v>
      </c>
      <c r="J6" s="8">
        <v>42303</v>
      </c>
      <c r="K6" s="8">
        <v>43149</v>
      </c>
      <c r="L6" s="8">
        <v>44237</v>
      </c>
      <c r="M6" s="8">
        <v>47709</v>
      </c>
      <c r="N6" s="8">
        <v>48663</v>
      </c>
      <c r="O6" s="8">
        <v>49636</v>
      </c>
      <c r="P6" s="8">
        <v>52614</v>
      </c>
      <c r="Q6" s="429">
        <v>56396</v>
      </c>
      <c r="R6" s="429">
        <v>57862</v>
      </c>
      <c r="S6" s="429">
        <v>59309</v>
      </c>
      <c r="T6" s="429">
        <v>61385</v>
      </c>
      <c r="U6" s="52">
        <v>61385</v>
      </c>
      <c r="V6" s="52">
        <v>61385</v>
      </c>
      <c r="W6" s="52">
        <v>61385</v>
      </c>
      <c r="X6" s="52">
        <v>61385</v>
      </c>
      <c r="Y6" s="324">
        <v>61385</v>
      </c>
      <c r="AE6" s="336" t="s">
        <v>216</v>
      </c>
      <c r="AF6" s="337" t="s">
        <v>217</v>
      </c>
      <c r="AG6" s="338" t="s">
        <v>218</v>
      </c>
      <c r="AH6" s="338" t="s">
        <v>219</v>
      </c>
      <c r="AI6" s="338" t="s">
        <v>220</v>
      </c>
      <c r="AJ6" s="338" t="s">
        <v>221</v>
      </c>
      <c r="AK6" s="338" t="s">
        <v>222</v>
      </c>
      <c r="AL6" s="339" t="s">
        <v>223</v>
      </c>
    </row>
    <row r="7" spans="1:38" ht="15" thickTop="1" x14ac:dyDescent="0.3">
      <c r="B7" s="4">
        <v>3</v>
      </c>
      <c r="C7" s="8">
        <v>39837</v>
      </c>
      <c r="D7" s="8">
        <v>40136</v>
      </c>
      <c r="E7" s="8">
        <v>40738</v>
      </c>
      <c r="F7" s="8">
        <v>41451</v>
      </c>
      <c r="G7" s="8">
        <v>42280</v>
      </c>
      <c r="H7" s="8">
        <v>42703</v>
      </c>
      <c r="I7" s="8">
        <v>43344</v>
      </c>
      <c r="J7" s="8">
        <v>44103</v>
      </c>
      <c r="K7" s="8">
        <v>44985</v>
      </c>
      <c r="L7" s="8">
        <v>46117</v>
      </c>
      <c r="M7" s="8">
        <v>50898</v>
      </c>
      <c r="N7" s="8">
        <v>51916</v>
      </c>
      <c r="O7" s="8">
        <v>52954</v>
      </c>
      <c r="P7" s="8">
        <v>56131</v>
      </c>
      <c r="Q7" s="429">
        <v>58201</v>
      </c>
      <c r="R7" s="429">
        <v>59714</v>
      </c>
      <c r="S7" s="429">
        <v>61207</v>
      </c>
      <c r="T7" s="429">
        <v>63349</v>
      </c>
      <c r="U7" s="52">
        <v>63349</v>
      </c>
      <c r="V7" s="52">
        <v>63349</v>
      </c>
      <c r="W7" s="52">
        <v>63349</v>
      </c>
      <c r="X7" s="52">
        <v>63349</v>
      </c>
      <c r="Y7" s="324">
        <v>63349</v>
      </c>
      <c r="AE7" s="340" t="s">
        <v>224</v>
      </c>
      <c r="AF7" s="341">
        <v>70.540000000000006</v>
      </c>
      <c r="AG7" s="342">
        <v>71.95</v>
      </c>
      <c r="AH7" s="343">
        <v>73.39</v>
      </c>
      <c r="AI7" s="343">
        <v>77.06</v>
      </c>
      <c r="AJ7" s="343">
        <v>78.599999999999994</v>
      </c>
      <c r="AK7" s="343">
        <v>78.599999999999994</v>
      </c>
      <c r="AL7" s="344">
        <v>81.93</v>
      </c>
    </row>
    <row r="8" spans="1:38" x14ac:dyDescent="0.3">
      <c r="B8" s="4">
        <v>4</v>
      </c>
      <c r="C8" s="8">
        <v>41530</v>
      </c>
      <c r="D8" s="8">
        <v>41841</v>
      </c>
      <c r="E8" s="8">
        <v>42469</v>
      </c>
      <c r="F8" s="8">
        <v>43212</v>
      </c>
      <c r="G8" s="8">
        <v>44076</v>
      </c>
      <c r="H8" s="8">
        <v>44517</v>
      </c>
      <c r="I8" s="8">
        <v>45185</v>
      </c>
      <c r="J8" s="8">
        <v>45976</v>
      </c>
      <c r="K8" s="8">
        <v>46896</v>
      </c>
      <c r="L8" s="8">
        <v>48078</v>
      </c>
      <c r="M8" s="8">
        <v>52025</v>
      </c>
      <c r="N8" s="8">
        <v>53066</v>
      </c>
      <c r="O8" s="8">
        <v>54127</v>
      </c>
      <c r="P8" s="8">
        <v>57375</v>
      </c>
      <c r="Q8" s="429">
        <v>60063</v>
      </c>
      <c r="R8" s="429">
        <v>61625</v>
      </c>
      <c r="S8" s="429">
        <v>63166</v>
      </c>
      <c r="T8" s="429">
        <v>65377</v>
      </c>
      <c r="U8" s="52">
        <v>65377</v>
      </c>
      <c r="V8" s="52">
        <v>65377</v>
      </c>
      <c r="W8" s="52">
        <v>65377</v>
      </c>
      <c r="X8" s="52">
        <v>65377</v>
      </c>
      <c r="Y8" s="324">
        <v>65377</v>
      </c>
      <c r="AE8" s="340" t="s">
        <v>225</v>
      </c>
      <c r="AF8" s="345"/>
      <c r="AG8" s="346" t="s">
        <v>226</v>
      </c>
      <c r="AH8" s="347" t="s">
        <v>226</v>
      </c>
      <c r="AI8" s="347">
        <v>79.06</v>
      </c>
      <c r="AJ8" s="347">
        <v>80.64</v>
      </c>
      <c r="AK8" s="347">
        <v>80.77</v>
      </c>
      <c r="AL8" s="348">
        <v>84.36</v>
      </c>
    </row>
    <row r="9" spans="1:38" x14ac:dyDescent="0.3">
      <c r="B9" s="4">
        <v>5</v>
      </c>
      <c r="C9" s="8">
        <v>43296</v>
      </c>
      <c r="D9" s="8">
        <v>43621</v>
      </c>
      <c r="E9" s="8">
        <v>44275</v>
      </c>
      <c r="F9" s="8">
        <v>45050</v>
      </c>
      <c r="G9" s="8">
        <v>45951</v>
      </c>
      <c r="H9" s="8">
        <v>46411</v>
      </c>
      <c r="I9" s="8">
        <v>47107</v>
      </c>
      <c r="J9" s="8">
        <v>47931</v>
      </c>
      <c r="K9" s="8">
        <v>48890</v>
      </c>
      <c r="L9" s="8">
        <v>50120</v>
      </c>
      <c r="M9" s="8">
        <v>53177</v>
      </c>
      <c r="N9" s="8">
        <v>54241</v>
      </c>
      <c r="O9" s="8">
        <v>55326</v>
      </c>
      <c r="P9" s="8">
        <v>58646</v>
      </c>
      <c r="Q9" s="429">
        <v>61985</v>
      </c>
      <c r="R9" s="429">
        <v>63597</v>
      </c>
      <c r="S9" s="429">
        <v>65187</v>
      </c>
      <c r="T9" s="429">
        <v>67469</v>
      </c>
      <c r="U9" s="52">
        <v>67469</v>
      </c>
      <c r="V9" s="52">
        <v>67469</v>
      </c>
      <c r="W9" s="52">
        <v>67469</v>
      </c>
      <c r="X9" s="52">
        <v>67469</v>
      </c>
      <c r="Y9" s="324">
        <v>67469</v>
      </c>
      <c r="AE9" s="340" t="s">
        <v>227</v>
      </c>
      <c r="AF9" s="345"/>
      <c r="AG9" s="346" t="s">
        <v>226</v>
      </c>
      <c r="AH9" s="347" t="s">
        <v>226</v>
      </c>
      <c r="AI9" s="347">
        <v>81.11</v>
      </c>
      <c r="AJ9" s="347">
        <v>82.73</v>
      </c>
      <c r="AK9" s="347">
        <v>83</v>
      </c>
      <c r="AL9" s="348">
        <v>86.86</v>
      </c>
    </row>
    <row r="10" spans="1:38" x14ac:dyDescent="0.3">
      <c r="B10" s="4">
        <v>6</v>
      </c>
      <c r="C10" s="8">
        <v>45136</v>
      </c>
      <c r="D10" s="8">
        <v>45475</v>
      </c>
      <c r="E10" s="8">
        <v>46157</v>
      </c>
      <c r="F10" s="8">
        <v>46965</v>
      </c>
      <c r="G10" s="8">
        <v>47904</v>
      </c>
      <c r="H10" s="8">
        <v>48383</v>
      </c>
      <c r="I10" s="8">
        <v>49109</v>
      </c>
      <c r="J10" s="8">
        <v>49968</v>
      </c>
      <c r="K10" s="8">
        <v>50967</v>
      </c>
      <c r="L10" s="8">
        <v>52251</v>
      </c>
      <c r="M10" s="8">
        <v>54354</v>
      </c>
      <c r="N10" s="8">
        <v>55441</v>
      </c>
      <c r="O10" s="8">
        <v>56550</v>
      </c>
      <c r="P10" s="8">
        <v>59943</v>
      </c>
      <c r="Q10" s="429">
        <v>63970</v>
      </c>
      <c r="R10" s="429">
        <v>65633</v>
      </c>
      <c r="S10" s="429">
        <v>67274</v>
      </c>
      <c r="T10" s="429">
        <v>69629</v>
      </c>
      <c r="U10" s="52">
        <v>69629</v>
      </c>
      <c r="V10" s="52">
        <v>69629</v>
      </c>
      <c r="W10" s="52">
        <v>69629</v>
      </c>
      <c r="X10" s="52">
        <v>69629</v>
      </c>
      <c r="Y10" s="324">
        <v>69629</v>
      </c>
      <c r="AE10" s="340" t="s">
        <v>228</v>
      </c>
      <c r="AF10" s="345"/>
      <c r="AG10" s="346" t="s">
        <v>226</v>
      </c>
      <c r="AH10" s="347" t="s">
        <v>226</v>
      </c>
      <c r="AI10" s="347">
        <v>83.22</v>
      </c>
      <c r="AJ10" s="347">
        <v>84.88</v>
      </c>
      <c r="AK10" s="347">
        <v>85.29</v>
      </c>
      <c r="AL10" s="348">
        <v>89.44</v>
      </c>
    </row>
    <row r="11" spans="1:38" x14ac:dyDescent="0.3">
      <c r="B11" s="4">
        <v>7</v>
      </c>
      <c r="C11" s="8">
        <v>47055</v>
      </c>
      <c r="D11" s="8">
        <v>47408</v>
      </c>
      <c r="E11" s="8">
        <v>48119</v>
      </c>
      <c r="F11" s="8">
        <v>48961</v>
      </c>
      <c r="G11" s="8">
        <v>49940</v>
      </c>
      <c r="H11" s="8">
        <v>50439</v>
      </c>
      <c r="I11" s="8">
        <v>51196</v>
      </c>
      <c r="J11" s="8">
        <v>52092</v>
      </c>
      <c r="K11" s="8">
        <v>53134</v>
      </c>
      <c r="L11" s="8">
        <v>54471</v>
      </c>
      <c r="M11" s="8">
        <v>55560</v>
      </c>
      <c r="N11" s="8">
        <v>56671</v>
      </c>
      <c r="O11" s="8">
        <v>57804</v>
      </c>
      <c r="P11" s="8">
        <v>61272</v>
      </c>
      <c r="Q11" s="429">
        <v>67107</v>
      </c>
      <c r="R11" s="429">
        <v>68852</v>
      </c>
      <c r="S11" s="429">
        <v>70573</v>
      </c>
      <c r="T11" s="429">
        <v>73043</v>
      </c>
      <c r="U11" s="52">
        <v>73043</v>
      </c>
      <c r="V11" s="52">
        <v>73043</v>
      </c>
      <c r="W11" s="52">
        <v>73043</v>
      </c>
      <c r="X11" s="52">
        <v>73043</v>
      </c>
      <c r="Y11" s="324">
        <v>73043</v>
      </c>
      <c r="AE11" s="340" t="s">
        <v>229</v>
      </c>
      <c r="AF11" s="345"/>
      <c r="AG11" s="346" t="s">
        <v>226</v>
      </c>
      <c r="AH11" s="347" t="s">
        <v>226</v>
      </c>
      <c r="AI11" s="347" t="s">
        <v>226</v>
      </c>
      <c r="AJ11" s="347" t="s">
        <v>226</v>
      </c>
      <c r="AK11" s="347">
        <v>87.64</v>
      </c>
      <c r="AL11" s="348">
        <v>92.09</v>
      </c>
    </row>
    <row r="12" spans="1:38" x14ac:dyDescent="0.3">
      <c r="B12" s="4">
        <v>8</v>
      </c>
      <c r="C12" s="8">
        <v>49056</v>
      </c>
      <c r="D12" s="8">
        <v>49424</v>
      </c>
      <c r="E12" s="8">
        <v>50165</v>
      </c>
      <c r="F12" s="8">
        <v>51043</v>
      </c>
      <c r="G12" s="8">
        <v>52064</v>
      </c>
      <c r="H12" s="8">
        <v>52585</v>
      </c>
      <c r="I12" s="8">
        <v>53374</v>
      </c>
      <c r="J12" s="8">
        <v>54308</v>
      </c>
      <c r="K12" s="8">
        <v>55394</v>
      </c>
      <c r="L12" s="8">
        <v>56787</v>
      </c>
      <c r="M12" s="8">
        <v>57923</v>
      </c>
      <c r="N12" s="8">
        <v>59081</v>
      </c>
      <c r="O12" s="8">
        <v>60263</v>
      </c>
      <c r="P12" s="8">
        <v>63879</v>
      </c>
      <c r="Q12" s="429">
        <v>69220</v>
      </c>
      <c r="R12" s="429">
        <v>71020</v>
      </c>
      <c r="S12" s="429">
        <v>72796</v>
      </c>
      <c r="T12" s="429">
        <v>75344</v>
      </c>
      <c r="U12" s="52">
        <v>75344</v>
      </c>
      <c r="V12" s="52">
        <v>75344</v>
      </c>
      <c r="W12" s="52">
        <v>75344</v>
      </c>
      <c r="X12" s="52">
        <v>75344</v>
      </c>
      <c r="Y12" s="324">
        <v>75344</v>
      </c>
      <c r="AE12" s="340" t="s">
        <v>230</v>
      </c>
      <c r="AF12" s="345"/>
      <c r="AG12" s="346" t="s">
        <v>226</v>
      </c>
      <c r="AH12" s="347" t="s">
        <v>226</v>
      </c>
      <c r="AI12" s="347" t="s">
        <v>226</v>
      </c>
      <c r="AJ12" s="347" t="s">
        <v>226</v>
      </c>
      <c r="AK12" s="347" t="s">
        <v>226</v>
      </c>
      <c r="AL12" s="348">
        <v>94.83</v>
      </c>
    </row>
    <row r="13" spans="1:38" x14ac:dyDescent="0.3">
      <c r="B13" s="4">
        <v>9</v>
      </c>
      <c r="C13" s="8">
        <v>51141</v>
      </c>
      <c r="D13" s="8">
        <v>51525</v>
      </c>
      <c r="E13" s="8">
        <v>52298</v>
      </c>
      <c r="F13" s="8">
        <v>53213</v>
      </c>
      <c r="G13" s="8">
        <v>54277</v>
      </c>
      <c r="H13" s="8">
        <v>54820</v>
      </c>
      <c r="I13" s="8">
        <v>55642</v>
      </c>
      <c r="J13" s="8">
        <v>56616</v>
      </c>
      <c r="K13" s="8">
        <v>57748</v>
      </c>
      <c r="L13" s="8">
        <v>59199</v>
      </c>
      <c r="M13" s="8">
        <v>60383</v>
      </c>
      <c r="N13" s="8">
        <v>61591</v>
      </c>
      <c r="O13" s="8">
        <v>62823</v>
      </c>
      <c r="P13" s="8">
        <v>66592</v>
      </c>
      <c r="Q13" s="429">
        <v>71400</v>
      </c>
      <c r="R13" s="429">
        <v>73256</v>
      </c>
      <c r="S13" s="429">
        <v>75087</v>
      </c>
      <c r="T13" s="429">
        <v>77715</v>
      </c>
      <c r="U13" s="52">
        <v>77715</v>
      </c>
      <c r="V13" s="52">
        <v>77715</v>
      </c>
      <c r="W13" s="52">
        <v>77715</v>
      </c>
      <c r="X13" s="52">
        <v>77715</v>
      </c>
      <c r="Y13" s="324">
        <v>77715</v>
      </c>
      <c r="AE13" s="340" t="s">
        <v>231</v>
      </c>
      <c r="AF13" s="345">
        <v>82.55</v>
      </c>
      <c r="AG13" s="346">
        <v>84.2</v>
      </c>
      <c r="AH13" s="347">
        <v>85.88</v>
      </c>
      <c r="AI13" s="347">
        <v>90.17</v>
      </c>
      <c r="AJ13" s="347">
        <v>91.97</v>
      </c>
      <c r="AK13" s="347">
        <v>91.97</v>
      </c>
      <c r="AL13" s="348">
        <v>95.23</v>
      </c>
    </row>
    <row r="14" spans="1:38" x14ac:dyDescent="0.3">
      <c r="B14" s="4">
        <v>10</v>
      </c>
      <c r="C14" s="8">
        <v>53315</v>
      </c>
      <c r="D14" s="8">
        <v>53715</v>
      </c>
      <c r="E14" s="8">
        <v>54521</v>
      </c>
      <c r="F14" s="8">
        <v>55475</v>
      </c>
      <c r="G14" s="8">
        <v>56585</v>
      </c>
      <c r="H14" s="8">
        <v>57151</v>
      </c>
      <c r="I14" s="8">
        <v>58008</v>
      </c>
      <c r="J14" s="8">
        <v>59023</v>
      </c>
      <c r="K14" s="8">
        <v>60203</v>
      </c>
      <c r="L14" s="8">
        <v>61716</v>
      </c>
      <c r="M14" s="8">
        <v>62950</v>
      </c>
      <c r="N14" s="8">
        <v>64209</v>
      </c>
      <c r="O14" s="8">
        <v>65493</v>
      </c>
      <c r="P14" s="8">
        <v>69423</v>
      </c>
      <c r="Q14" s="429">
        <v>74195</v>
      </c>
      <c r="R14" s="429">
        <v>76124</v>
      </c>
      <c r="S14" s="429">
        <v>78027</v>
      </c>
      <c r="T14" s="429">
        <v>80758</v>
      </c>
      <c r="U14" s="52">
        <v>80758</v>
      </c>
      <c r="V14" s="52">
        <v>80758</v>
      </c>
      <c r="W14" s="52">
        <v>80758</v>
      </c>
      <c r="X14" s="52">
        <v>80758</v>
      </c>
      <c r="Y14" s="324">
        <v>80758</v>
      </c>
      <c r="AE14" s="340" t="s">
        <v>232</v>
      </c>
      <c r="AF14" s="345"/>
      <c r="AG14" s="346" t="s">
        <v>233</v>
      </c>
      <c r="AH14" s="347" t="s">
        <v>233</v>
      </c>
      <c r="AI14" s="347">
        <v>91.94</v>
      </c>
      <c r="AJ14" s="347">
        <v>93.78</v>
      </c>
      <c r="AK14" s="347">
        <v>93.97</v>
      </c>
      <c r="AL14" s="348">
        <v>97.71</v>
      </c>
    </row>
    <row r="15" spans="1:38" x14ac:dyDescent="0.3">
      <c r="B15" s="4">
        <v>11</v>
      </c>
      <c r="C15" s="8">
        <v>55582</v>
      </c>
      <c r="D15" s="8">
        <v>55999</v>
      </c>
      <c r="E15" s="8">
        <v>56839</v>
      </c>
      <c r="F15" s="8">
        <v>57834</v>
      </c>
      <c r="G15" s="8">
        <v>58991</v>
      </c>
      <c r="H15" s="8">
        <v>59581</v>
      </c>
      <c r="I15" s="8">
        <v>60475</v>
      </c>
      <c r="J15" s="8">
        <v>61533</v>
      </c>
      <c r="K15" s="8">
        <v>62764</v>
      </c>
      <c r="L15" s="8">
        <v>64757</v>
      </c>
      <c r="M15" s="8">
        <v>66052</v>
      </c>
      <c r="N15" s="8">
        <v>67373</v>
      </c>
      <c r="O15" s="8">
        <v>68720</v>
      </c>
      <c r="P15" s="8">
        <v>72843</v>
      </c>
      <c r="Q15" s="429">
        <v>76836</v>
      </c>
      <c r="R15" s="429">
        <v>78834</v>
      </c>
      <c r="S15" s="429">
        <v>80805</v>
      </c>
      <c r="T15" s="429">
        <v>83633</v>
      </c>
      <c r="U15" s="52">
        <v>83633</v>
      </c>
      <c r="V15" s="52">
        <v>83633</v>
      </c>
      <c r="W15" s="52">
        <v>83633</v>
      </c>
      <c r="X15" s="52">
        <v>83633</v>
      </c>
      <c r="Y15" s="324">
        <v>83633</v>
      </c>
      <c r="AE15" s="340" t="s">
        <v>234</v>
      </c>
      <c r="AF15" s="345"/>
      <c r="AG15" s="346" t="s">
        <v>233</v>
      </c>
      <c r="AH15" s="347" t="s">
        <v>233</v>
      </c>
      <c r="AI15" s="347">
        <v>93.74</v>
      </c>
      <c r="AJ15" s="347">
        <v>95.61</v>
      </c>
      <c r="AK15" s="347">
        <v>96.02</v>
      </c>
      <c r="AL15" s="348">
        <v>100.26</v>
      </c>
    </row>
    <row r="16" spans="1:38" x14ac:dyDescent="0.3">
      <c r="B16" s="4">
        <v>12</v>
      </c>
      <c r="C16" s="8">
        <v>57945</v>
      </c>
      <c r="D16" s="8">
        <v>58380</v>
      </c>
      <c r="E16" s="8">
        <v>59256</v>
      </c>
      <c r="F16" s="8">
        <v>60293</v>
      </c>
      <c r="G16" s="8">
        <v>61499</v>
      </c>
      <c r="H16" s="8">
        <v>62114</v>
      </c>
      <c r="I16" s="8">
        <v>63046</v>
      </c>
      <c r="J16" s="8">
        <v>64149</v>
      </c>
      <c r="K16" s="8">
        <v>65432</v>
      </c>
      <c r="L16" s="8">
        <v>67988</v>
      </c>
      <c r="M16" s="8">
        <v>69348</v>
      </c>
      <c r="N16" s="8">
        <v>70735</v>
      </c>
      <c r="O16" s="8">
        <v>72150</v>
      </c>
      <c r="P16" s="8">
        <v>76479</v>
      </c>
      <c r="Q16" s="429">
        <v>79863</v>
      </c>
      <c r="R16" s="429">
        <v>81939</v>
      </c>
      <c r="S16" s="429">
        <v>83987</v>
      </c>
      <c r="T16" s="429">
        <v>86927</v>
      </c>
      <c r="U16" s="52">
        <v>86927</v>
      </c>
      <c r="V16" s="52">
        <v>86927</v>
      </c>
      <c r="W16" s="52">
        <v>86927</v>
      </c>
      <c r="X16" s="52">
        <v>86927</v>
      </c>
      <c r="Y16" s="324">
        <v>86927</v>
      </c>
      <c r="AE16" s="340" t="s">
        <v>235</v>
      </c>
      <c r="AF16" s="345"/>
      <c r="AG16" s="346" t="s">
        <v>233</v>
      </c>
      <c r="AH16" s="347" t="s">
        <v>233</v>
      </c>
      <c r="AI16" s="347">
        <v>95.58</v>
      </c>
      <c r="AJ16" s="347">
        <v>97.49</v>
      </c>
      <c r="AK16" s="347">
        <v>98.11</v>
      </c>
      <c r="AL16" s="348">
        <v>102.88</v>
      </c>
    </row>
    <row r="17" spans="2:38" x14ac:dyDescent="0.3">
      <c r="B17" s="4">
        <v>13</v>
      </c>
      <c r="C17" s="8">
        <v>60408</v>
      </c>
      <c r="D17" s="8">
        <v>60861</v>
      </c>
      <c r="E17" s="8">
        <v>61774</v>
      </c>
      <c r="F17" s="8">
        <v>62855</v>
      </c>
      <c r="G17" s="8">
        <v>64112</v>
      </c>
      <c r="H17" s="8">
        <v>64753</v>
      </c>
      <c r="I17" s="8">
        <v>65724</v>
      </c>
      <c r="J17" s="8">
        <v>66874</v>
      </c>
      <c r="K17" s="8">
        <v>68211</v>
      </c>
      <c r="L17" s="8">
        <v>71376</v>
      </c>
      <c r="M17" s="8">
        <v>72804</v>
      </c>
      <c r="N17" s="8">
        <v>74260</v>
      </c>
      <c r="O17" s="8">
        <v>75745</v>
      </c>
      <c r="P17" s="8">
        <v>80290</v>
      </c>
      <c r="Q17" s="429">
        <v>82538</v>
      </c>
      <c r="R17" s="429">
        <v>84684</v>
      </c>
      <c r="S17" s="429">
        <v>86801</v>
      </c>
      <c r="T17" s="429">
        <v>89839</v>
      </c>
      <c r="U17" s="52">
        <v>89839</v>
      </c>
      <c r="V17" s="52">
        <v>89839</v>
      </c>
      <c r="W17" s="52">
        <v>89839</v>
      </c>
      <c r="X17" s="52">
        <v>89839</v>
      </c>
      <c r="Y17" s="324">
        <v>89839</v>
      </c>
      <c r="AE17" s="340" t="s">
        <v>236</v>
      </c>
      <c r="AF17" s="345"/>
      <c r="AG17" s="346" t="s">
        <v>233</v>
      </c>
      <c r="AH17" s="347" t="s">
        <v>233</v>
      </c>
      <c r="AI17" s="347" t="s">
        <v>233</v>
      </c>
      <c r="AJ17" s="347" t="s">
        <v>233</v>
      </c>
      <c r="AK17" s="347">
        <v>100.25</v>
      </c>
      <c r="AL17" s="348">
        <v>105.56</v>
      </c>
    </row>
    <row r="18" spans="2:38" x14ac:dyDescent="0.3">
      <c r="B18" s="4">
        <v>14</v>
      </c>
      <c r="C18" s="8">
        <v>62976</v>
      </c>
      <c r="D18" s="8">
        <v>63448</v>
      </c>
      <c r="E18" s="8">
        <v>64400</v>
      </c>
      <c r="F18" s="8">
        <v>65527</v>
      </c>
      <c r="G18" s="8">
        <v>66838</v>
      </c>
      <c r="H18" s="8">
        <v>67506</v>
      </c>
      <c r="I18" s="8">
        <v>68519</v>
      </c>
      <c r="J18" s="8">
        <v>69718</v>
      </c>
      <c r="K18" s="8">
        <v>71112</v>
      </c>
      <c r="L18" s="8">
        <v>74935</v>
      </c>
      <c r="M18" s="8">
        <v>76434</v>
      </c>
      <c r="N18" s="8">
        <v>77963</v>
      </c>
      <c r="O18" s="8">
        <v>79522</v>
      </c>
      <c r="P18" s="8">
        <v>84293</v>
      </c>
      <c r="Q18" s="429">
        <v>86654</v>
      </c>
      <c r="R18" s="429">
        <v>88907</v>
      </c>
      <c r="S18" s="429">
        <v>91130</v>
      </c>
      <c r="T18" s="429">
        <v>94320</v>
      </c>
      <c r="U18" s="52">
        <v>94320</v>
      </c>
      <c r="V18" s="52">
        <v>94320</v>
      </c>
      <c r="W18" s="52">
        <v>94320</v>
      </c>
      <c r="X18" s="52">
        <v>94320</v>
      </c>
      <c r="Y18" s="324">
        <v>94320</v>
      </c>
      <c r="AE18" s="340" t="s">
        <v>237</v>
      </c>
      <c r="AF18" s="345"/>
      <c r="AG18" s="346" t="s">
        <v>233</v>
      </c>
      <c r="AH18" s="347" t="s">
        <v>233</v>
      </c>
      <c r="AI18" s="347" t="s">
        <v>233</v>
      </c>
      <c r="AJ18" s="347" t="s">
        <v>233</v>
      </c>
      <c r="AK18" s="347" t="s">
        <v>233</v>
      </c>
      <c r="AL18" s="348">
        <v>108.32</v>
      </c>
    </row>
    <row r="19" spans="2:38" x14ac:dyDescent="0.3">
      <c r="B19" s="4">
        <v>15</v>
      </c>
      <c r="C19" s="8">
        <v>65653</v>
      </c>
      <c r="D19" s="8">
        <v>66145</v>
      </c>
      <c r="E19" s="8">
        <v>67137</v>
      </c>
      <c r="F19" s="8">
        <v>68312</v>
      </c>
      <c r="G19" s="8">
        <v>69678</v>
      </c>
      <c r="H19" s="8">
        <v>70375</v>
      </c>
      <c r="I19" s="8">
        <v>71431</v>
      </c>
      <c r="J19" s="8">
        <v>72681</v>
      </c>
      <c r="K19" s="8">
        <v>74135</v>
      </c>
      <c r="L19" s="8">
        <v>78665</v>
      </c>
      <c r="M19" s="8">
        <v>80238</v>
      </c>
      <c r="N19" s="8">
        <v>81843</v>
      </c>
      <c r="O19" s="8">
        <v>83480</v>
      </c>
      <c r="P19" s="8">
        <v>88489</v>
      </c>
      <c r="Q19" s="429">
        <v>90966</v>
      </c>
      <c r="R19" s="429">
        <v>93331</v>
      </c>
      <c r="S19" s="429">
        <v>95664</v>
      </c>
      <c r="T19" s="429">
        <v>99012</v>
      </c>
      <c r="U19" s="52">
        <v>99012</v>
      </c>
      <c r="V19" s="52">
        <v>99012</v>
      </c>
      <c r="W19" s="52">
        <v>99012</v>
      </c>
      <c r="X19" s="52">
        <v>99012</v>
      </c>
      <c r="Y19" s="324">
        <v>99012</v>
      </c>
      <c r="AE19" s="340" t="s">
        <v>238</v>
      </c>
      <c r="AF19" s="345">
        <v>102.32</v>
      </c>
      <c r="AG19" s="346">
        <v>104.37</v>
      </c>
      <c r="AH19" s="347">
        <v>106.46</v>
      </c>
      <c r="AI19" s="347">
        <v>106.46</v>
      </c>
      <c r="AJ19" s="347">
        <v>108.59</v>
      </c>
      <c r="AK19" s="347">
        <v>108.59</v>
      </c>
      <c r="AL19" s="348">
        <v>108.59</v>
      </c>
    </row>
    <row r="20" spans="2:38" x14ac:dyDescent="0.3">
      <c r="B20" s="4">
        <v>16</v>
      </c>
      <c r="C20" s="8">
        <v>68444</v>
      </c>
      <c r="D20" s="8">
        <v>68957</v>
      </c>
      <c r="E20" s="8">
        <v>69991</v>
      </c>
      <c r="F20" s="8">
        <v>71216</v>
      </c>
      <c r="G20" s="8">
        <v>72640</v>
      </c>
      <c r="H20" s="8">
        <v>73366</v>
      </c>
      <c r="I20" s="8">
        <v>74466</v>
      </c>
      <c r="J20" s="8">
        <v>75769</v>
      </c>
      <c r="K20" s="8">
        <v>77284</v>
      </c>
      <c r="L20" s="8">
        <v>82591</v>
      </c>
      <c r="M20" s="8">
        <v>84243</v>
      </c>
      <c r="N20" s="8">
        <v>85928</v>
      </c>
      <c r="O20" s="8">
        <v>87647</v>
      </c>
      <c r="P20" s="8">
        <v>92906</v>
      </c>
      <c r="Q20" s="429">
        <v>95507</v>
      </c>
      <c r="R20" s="429">
        <v>97990</v>
      </c>
      <c r="S20" s="429">
        <v>100440</v>
      </c>
      <c r="T20" s="429">
        <v>103955</v>
      </c>
      <c r="U20" s="52">
        <v>103955</v>
      </c>
      <c r="V20" s="52">
        <v>103955</v>
      </c>
      <c r="W20" s="52">
        <v>103955</v>
      </c>
      <c r="X20" s="52">
        <v>103955</v>
      </c>
      <c r="Y20" s="324">
        <v>103955</v>
      </c>
      <c r="AE20" s="340" t="s">
        <v>239</v>
      </c>
      <c r="AF20" s="345"/>
      <c r="AG20" s="346" t="s">
        <v>226</v>
      </c>
      <c r="AH20" s="347" t="s">
        <v>226</v>
      </c>
      <c r="AI20" s="347">
        <v>108.2</v>
      </c>
      <c r="AJ20" s="347">
        <v>110.36</v>
      </c>
      <c r="AK20" s="347">
        <v>110.7</v>
      </c>
      <c r="AL20" s="348">
        <v>110.88</v>
      </c>
    </row>
    <row r="21" spans="2:38" x14ac:dyDescent="0.3">
      <c r="B21" s="4">
        <v>17</v>
      </c>
      <c r="C21" s="8">
        <v>71354</v>
      </c>
      <c r="D21" s="8">
        <v>71889</v>
      </c>
      <c r="E21" s="8">
        <v>72967</v>
      </c>
      <c r="F21" s="8">
        <v>74244</v>
      </c>
      <c r="G21" s="8">
        <v>75729</v>
      </c>
      <c r="H21" s="8">
        <v>76486</v>
      </c>
      <c r="I21" s="8">
        <v>77633</v>
      </c>
      <c r="J21" s="8">
        <v>78992</v>
      </c>
      <c r="K21" s="8">
        <v>80572</v>
      </c>
      <c r="L21" s="8">
        <v>86713</v>
      </c>
      <c r="M21" s="8">
        <v>88448</v>
      </c>
      <c r="N21" s="8">
        <v>90219</v>
      </c>
      <c r="O21" s="8">
        <v>92027</v>
      </c>
      <c r="P21" s="8">
        <v>97549</v>
      </c>
      <c r="Q21" s="429">
        <v>100280</v>
      </c>
      <c r="R21" s="429">
        <v>102887</v>
      </c>
      <c r="S21" s="429">
        <v>105459</v>
      </c>
      <c r="T21" s="429">
        <v>109150</v>
      </c>
      <c r="U21" s="52">
        <v>109150</v>
      </c>
      <c r="V21" s="52">
        <v>109150</v>
      </c>
      <c r="W21" s="52">
        <v>109150</v>
      </c>
      <c r="X21" s="52">
        <v>109150</v>
      </c>
      <c r="Y21" s="324">
        <v>109150</v>
      </c>
      <c r="AE21" s="340" t="s">
        <v>240</v>
      </c>
      <c r="AF21" s="345"/>
      <c r="AG21" s="346" t="s">
        <v>226</v>
      </c>
      <c r="AH21" s="347" t="s">
        <v>226</v>
      </c>
      <c r="AI21" s="347">
        <v>109.97</v>
      </c>
      <c r="AJ21" s="347">
        <v>112.17</v>
      </c>
      <c r="AK21" s="347">
        <v>112.85</v>
      </c>
      <c r="AL21" s="348">
        <v>113.22</v>
      </c>
    </row>
    <row r="22" spans="2:38" x14ac:dyDescent="0.3">
      <c r="B22" s="4">
        <v>18</v>
      </c>
      <c r="C22" s="8">
        <v>72514</v>
      </c>
      <c r="D22" s="8">
        <v>73058</v>
      </c>
      <c r="E22" s="8">
        <v>74154</v>
      </c>
      <c r="F22" s="8">
        <v>75452</v>
      </c>
      <c r="G22" s="8">
        <v>76961</v>
      </c>
      <c r="H22" s="8">
        <v>77731</v>
      </c>
      <c r="I22" s="8">
        <v>78897</v>
      </c>
      <c r="J22" s="8">
        <v>80278</v>
      </c>
      <c r="K22" s="8">
        <v>81884</v>
      </c>
      <c r="L22" s="8">
        <v>88126</v>
      </c>
      <c r="M22" s="8">
        <v>89890</v>
      </c>
      <c r="N22" s="8">
        <v>91690</v>
      </c>
      <c r="O22" s="8">
        <v>93527</v>
      </c>
      <c r="P22" s="8">
        <v>99139</v>
      </c>
      <c r="Q22" s="429">
        <v>101915</v>
      </c>
      <c r="R22" s="429">
        <v>104565</v>
      </c>
      <c r="S22" s="429">
        <v>107179</v>
      </c>
      <c r="T22" s="429">
        <v>110930</v>
      </c>
      <c r="U22" s="52">
        <v>110930</v>
      </c>
      <c r="V22" s="52">
        <v>110930</v>
      </c>
      <c r="W22" s="52">
        <v>110930</v>
      </c>
      <c r="X22" s="52">
        <v>110930</v>
      </c>
      <c r="Y22" s="324">
        <v>110930</v>
      </c>
      <c r="AE22" s="340" t="s">
        <v>241</v>
      </c>
      <c r="AF22" s="345"/>
      <c r="AG22" s="346" t="s">
        <v>226</v>
      </c>
      <c r="AH22" s="347" t="s">
        <v>226</v>
      </c>
      <c r="AI22" s="347">
        <v>111.78</v>
      </c>
      <c r="AJ22" s="347">
        <v>114.02</v>
      </c>
      <c r="AK22" s="347">
        <v>115.04</v>
      </c>
      <c r="AL22" s="348">
        <v>115.61</v>
      </c>
    </row>
    <row r="23" spans="2:38" x14ac:dyDescent="0.3">
      <c r="B23" s="4">
        <v>19</v>
      </c>
      <c r="C23" s="8">
        <v>73693</v>
      </c>
      <c r="D23" s="8">
        <v>74246</v>
      </c>
      <c r="E23" s="8">
        <v>75360</v>
      </c>
      <c r="F23" s="8">
        <v>76679</v>
      </c>
      <c r="G23" s="8">
        <v>78213</v>
      </c>
      <c r="H23" s="8">
        <v>78995</v>
      </c>
      <c r="I23" s="8">
        <v>80180</v>
      </c>
      <c r="J23" s="8">
        <v>81583</v>
      </c>
      <c r="K23" s="8">
        <v>83215</v>
      </c>
      <c r="L23" s="8">
        <v>89563</v>
      </c>
      <c r="M23" s="8">
        <v>91355</v>
      </c>
      <c r="N23" s="8">
        <v>93185</v>
      </c>
      <c r="O23" s="8">
        <v>95051</v>
      </c>
      <c r="P23" s="8">
        <v>100754</v>
      </c>
      <c r="Q23" s="429">
        <v>103575</v>
      </c>
      <c r="R23" s="429">
        <v>106268</v>
      </c>
      <c r="S23" s="429">
        <v>108925</v>
      </c>
      <c r="T23" s="429">
        <v>112737</v>
      </c>
      <c r="U23" s="52">
        <v>112737</v>
      </c>
      <c r="V23" s="52">
        <v>112737</v>
      </c>
      <c r="W23" s="52">
        <v>112737</v>
      </c>
      <c r="X23" s="52">
        <v>112737</v>
      </c>
      <c r="Y23" s="324">
        <v>112737</v>
      </c>
      <c r="AE23" s="340" t="s">
        <v>242</v>
      </c>
      <c r="AF23" s="345"/>
      <c r="AG23" s="346" t="s">
        <v>226</v>
      </c>
      <c r="AH23" s="347" t="s">
        <v>226</v>
      </c>
      <c r="AI23" s="347" t="s">
        <v>226</v>
      </c>
      <c r="AJ23" s="347" t="s">
        <v>226</v>
      </c>
      <c r="AK23" s="347">
        <v>117.28</v>
      </c>
      <c r="AL23" s="348">
        <v>118.05</v>
      </c>
    </row>
    <row r="24" spans="2:38" ht="15" thickBot="1" x14ac:dyDescent="0.35">
      <c r="B24" s="5">
        <v>20</v>
      </c>
      <c r="C24" s="9">
        <v>74891</v>
      </c>
      <c r="D24" s="9">
        <v>75453</v>
      </c>
      <c r="E24" s="9">
        <v>76585</v>
      </c>
      <c r="F24" s="9">
        <v>77925</v>
      </c>
      <c r="G24" s="9">
        <v>79484</v>
      </c>
      <c r="H24" s="9">
        <v>80279</v>
      </c>
      <c r="I24" s="9">
        <v>81483</v>
      </c>
      <c r="J24" s="9">
        <v>82909</v>
      </c>
      <c r="K24" s="9">
        <v>84567</v>
      </c>
      <c r="L24" s="9">
        <v>91023</v>
      </c>
      <c r="M24" s="9">
        <v>92844</v>
      </c>
      <c r="N24" s="9">
        <v>94704</v>
      </c>
      <c r="O24" s="9">
        <v>96600</v>
      </c>
      <c r="P24" s="9">
        <v>102396</v>
      </c>
      <c r="Q24" s="430">
        <v>105263</v>
      </c>
      <c r="R24" s="430">
        <v>108000</v>
      </c>
      <c r="S24" s="430">
        <v>110700</v>
      </c>
      <c r="T24" s="430">
        <v>114575</v>
      </c>
      <c r="U24" s="328">
        <v>114575</v>
      </c>
      <c r="V24" s="328">
        <v>114575</v>
      </c>
      <c r="W24" s="328">
        <v>114575</v>
      </c>
      <c r="X24" s="328">
        <v>114575</v>
      </c>
      <c r="Y24" s="325">
        <v>114575</v>
      </c>
      <c r="AE24" s="349" t="s">
        <v>243</v>
      </c>
      <c r="AF24" s="350"/>
      <c r="AG24" s="351" t="s">
        <v>226</v>
      </c>
      <c r="AH24" s="352" t="s">
        <v>226</v>
      </c>
      <c r="AI24" s="352" t="s">
        <v>226</v>
      </c>
      <c r="AJ24" s="352" t="s">
        <v>226</v>
      </c>
      <c r="AK24" s="352" t="s">
        <v>226</v>
      </c>
      <c r="AL24" s="353">
        <v>120.53</v>
      </c>
    </row>
    <row r="25" spans="2:38" ht="15" thickTop="1" x14ac:dyDescent="0.3"/>
    <row r="26" spans="2:38" x14ac:dyDescent="0.3">
      <c r="D26" s="1"/>
      <c r="E26" s="1"/>
    </row>
    <row r="27" spans="2:38" x14ac:dyDescent="0.3">
      <c r="D27" s="1"/>
      <c r="E27" s="488"/>
      <c r="F27" s="1"/>
      <c r="G27" s="489"/>
    </row>
    <row r="31" spans="2:38" x14ac:dyDescent="0.3">
      <c r="B31" s="434">
        <v>44561</v>
      </c>
      <c r="E31" t="s">
        <v>404</v>
      </c>
      <c r="F31" s="440">
        <v>713.34</v>
      </c>
    </row>
    <row r="32" spans="2:38" x14ac:dyDescent="0.3">
      <c r="B32" s="434">
        <v>44926</v>
      </c>
    </row>
    <row r="33" spans="2:2" x14ac:dyDescent="0.3">
      <c r="B33" s="434">
        <v>45291</v>
      </c>
    </row>
    <row r="34" spans="2:2" x14ac:dyDescent="0.3">
      <c r="B34" s="434">
        <v>45657</v>
      </c>
    </row>
    <row r="35" spans="2:2" x14ac:dyDescent="0.3">
      <c r="B35" s="434">
        <v>46022</v>
      </c>
    </row>
    <row r="36" spans="2:2" x14ac:dyDescent="0.3">
      <c r="B36" s="434">
        <v>46387</v>
      </c>
    </row>
    <row r="37" spans="2:2" x14ac:dyDescent="0.3">
      <c r="B37" s="434">
        <v>46752</v>
      </c>
    </row>
    <row r="38" spans="2:2" x14ac:dyDescent="0.3">
      <c r="B38" s="434">
        <v>47118</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F26B5-A37F-42D5-9623-C075080CBB50}">
  <dimension ref="B1:AQ164"/>
  <sheetViews>
    <sheetView showGridLines="0" showZeros="0" topLeftCell="A12" zoomScale="85" zoomScaleNormal="85" workbookViewId="0">
      <selection activeCell="F28" sqref="F28"/>
    </sheetView>
  </sheetViews>
  <sheetFormatPr baseColWidth="10" defaultColWidth="11.44140625" defaultRowHeight="14.4" x14ac:dyDescent="0.3"/>
  <cols>
    <col min="4" max="4" width="30" customWidth="1"/>
    <col min="5" max="5" width="21.5546875" customWidth="1"/>
    <col min="8" max="8" width="18.44140625" customWidth="1"/>
    <col min="9" max="9" width="12" bestFit="1" customWidth="1"/>
    <col min="11" max="11" width="19.77734375" customWidth="1"/>
    <col min="12" max="12" width="16.77734375" customWidth="1"/>
    <col min="14" max="14" width="18.5546875" customWidth="1"/>
    <col min="15" max="15" width="14.44140625" customWidth="1"/>
    <col min="16" max="16" width="13.44140625" customWidth="1"/>
    <col min="17" max="20" width="12.5546875" customWidth="1"/>
    <col min="21" max="21" width="24.5546875" customWidth="1"/>
    <col min="22" max="22" width="12.5546875" customWidth="1"/>
    <col min="24" max="24" width="9.21875" customWidth="1"/>
    <col min="26" max="26" width="11.5546875" customWidth="1"/>
    <col min="27" max="27" width="13.44140625" customWidth="1"/>
    <col min="28" max="28" width="12" customWidth="1"/>
    <col min="29" max="29" width="11.21875" customWidth="1"/>
    <col min="30" max="30" width="12.21875" customWidth="1"/>
    <col min="36" max="36" width="20.5546875" customWidth="1"/>
    <col min="45" max="45" width="30.77734375" customWidth="1"/>
  </cols>
  <sheetData>
    <row r="1" spans="4:41" ht="15.6" thickTop="1" thickBot="1" x14ac:dyDescent="0.35">
      <c r="F1" s="393">
        <v>2023</v>
      </c>
      <c r="G1" t="s">
        <v>31</v>
      </c>
    </row>
    <row r="2" spans="4:41" ht="15.6" thickTop="1" thickBot="1" x14ac:dyDescent="0.35">
      <c r="D2" t="s">
        <v>68</v>
      </c>
    </row>
    <row r="3" spans="4:41" ht="15" thickTop="1" x14ac:dyDescent="0.3">
      <c r="D3" s="142" t="s">
        <v>69</v>
      </c>
      <c r="E3" s="152">
        <v>92027</v>
      </c>
      <c r="F3" t="s">
        <v>212</v>
      </c>
    </row>
    <row r="4" spans="4:41" ht="15" thickBot="1" x14ac:dyDescent="0.35">
      <c r="D4" s="143" t="s">
        <v>70</v>
      </c>
      <c r="E4" s="153">
        <v>66600</v>
      </c>
      <c r="F4" t="s">
        <v>388</v>
      </c>
      <c r="L4" s="43" t="s">
        <v>100</v>
      </c>
    </row>
    <row r="5" spans="4:41" ht="15.6" thickTop="1" thickBot="1" x14ac:dyDescent="0.35">
      <c r="D5" s="143" t="s">
        <v>71</v>
      </c>
      <c r="E5" s="146">
        <f>25%*E4</f>
        <v>16650</v>
      </c>
      <c r="L5" s="581" t="s">
        <v>193</v>
      </c>
      <c r="M5" s="582"/>
      <c r="N5" s="582"/>
      <c r="O5" s="582"/>
      <c r="P5" s="583"/>
    </row>
    <row r="6" spans="4:41" ht="15" thickTop="1" x14ac:dyDescent="0.3">
      <c r="D6" s="143" t="s">
        <v>72</v>
      </c>
      <c r="E6" s="146">
        <f>E3-E5</f>
        <v>75377</v>
      </c>
      <c r="H6" s="79" t="s">
        <v>392</v>
      </c>
      <c r="I6" s="316">
        <f>MGA</f>
        <v>66600</v>
      </c>
      <c r="L6" s="159">
        <v>2019</v>
      </c>
      <c r="M6" s="50">
        <v>2020</v>
      </c>
      <c r="N6" s="50">
        <v>2021</v>
      </c>
      <c r="O6" s="50">
        <v>2022</v>
      </c>
      <c r="P6" s="160">
        <v>2023</v>
      </c>
    </row>
    <row r="7" spans="4:41" ht="15" customHeight="1" thickBot="1" x14ac:dyDescent="0.35">
      <c r="D7" s="143" t="s">
        <v>73</v>
      </c>
      <c r="E7" s="155">
        <v>9.69E-2</v>
      </c>
      <c r="F7" t="s">
        <v>389</v>
      </c>
      <c r="H7" s="75" t="s">
        <v>96</v>
      </c>
      <c r="I7" s="156">
        <v>3500</v>
      </c>
      <c r="L7" s="161">
        <v>1.5E-3</v>
      </c>
      <c r="M7" s="162">
        <v>3.0000000000000001E-3</v>
      </c>
      <c r="N7" s="162">
        <v>5.0000000000000001E-3</v>
      </c>
      <c r="O7" s="162">
        <v>7.4999999999999997E-3</v>
      </c>
      <c r="P7" s="163">
        <v>0.01</v>
      </c>
    </row>
    <row r="8" spans="4:41" ht="15" customHeight="1" thickTop="1" thickBot="1" x14ac:dyDescent="0.35">
      <c r="D8" s="143" t="s">
        <v>74</v>
      </c>
      <c r="E8" s="146">
        <f>E7*E6</f>
        <v>7304.0312999999996</v>
      </c>
      <c r="H8" s="75" t="s">
        <v>99</v>
      </c>
      <c r="I8" s="94">
        <f>I6-I7</f>
        <v>63100</v>
      </c>
      <c r="K8" s="79" t="s">
        <v>104</v>
      </c>
      <c r="L8" s="164">
        <f>L7+$I$9</f>
        <v>5.5500000000000001E-2</v>
      </c>
      <c r="M8" s="165">
        <f>M7+$I$9</f>
        <v>5.7000000000000002E-2</v>
      </c>
      <c r="N8" s="165">
        <f>N7+$I$9</f>
        <v>5.8999999999999997E-2</v>
      </c>
      <c r="O8" s="165">
        <f>O7+$I$9</f>
        <v>6.1499999999999999E-2</v>
      </c>
      <c r="P8" s="166">
        <f>P7+$I$9</f>
        <v>6.4000000000000001E-2</v>
      </c>
      <c r="Q8" s="40"/>
      <c r="X8" t="s">
        <v>195</v>
      </c>
      <c r="Y8" s="290">
        <v>1</v>
      </c>
      <c r="Z8" s="40" t="s">
        <v>196</v>
      </c>
    </row>
    <row r="9" spans="4:41" ht="15" customHeight="1" thickTop="1" thickBot="1" x14ac:dyDescent="0.35">
      <c r="D9" s="144" t="s">
        <v>75</v>
      </c>
      <c r="E9" s="154">
        <f>E8/26</f>
        <v>280.92428076923073</v>
      </c>
      <c r="H9" s="75" t="s">
        <v>101</v>
      </c>
      <c r="I9" s="157">
        <v>5.3999999999999999E-2</v>
      </c>
      <c r="K9" s="75" t="s">
        <v>105</v>
      </c>
      <c r="L9" s="167">
        <f>L7*$I$8</f>
        <v>94.65</v>
      </c>
      <c r="M9" s="168">
        <f>M7*$I$8</f>
        <v>189.3</v>
      </c>
      <c r="N9" s="168">
        <f>N7*$I$8</f>
        <v>315.5</v>
      </c>
      <c r="O9" s="168">
        <f>O7*$I$8</f>
        <v>473.25</v>
      </c>
      <c r="P9" s="169">
        <f>P7*$I$8</f>
        <v>631</v>
      </c>
      <c r="Q9" s="29"/>
      <c r="U9" s="3" t="s">
        <v>244</v>
      </c>
    </row>
    <row r="10" spans="4:41" ht="15" customHeight="1" thickTop="1" thickBot="1" x14ac:dyDescent="0.35">
      <c r="F10" s="427"/>
      <c r="H10" s="76" t="s">
        <v>74</v>
      </c>
      <c r="I10" s="158">
        <f>I9*$I$8</f>
        <v>3407.4</v>
      </c>
      <c r="K10" s="76" t="s">
        <v>107</v>
      </c>
      <c r="L10" s="170">
        <f>$I$10+L9</f>
        <v>3502.05</v>
      </c>
      <c r="M10" s="171">
        <f>$I$10+M9</f>
        <v>3596.7000000000003</v>
      </c>
      <c r="N10" s="171">
        <f>$I$10+N9</f>
        <v>3722.9</v>
      </c>
      <c r="O10" s="171">
        <f>$I$10+O9</f>
        <v>3880.65</v>
      </c>
      <c r="P10" s="172">
        <f>$I$10+P9</f>
        <v>4038.4</v>
      </c>
      <c r="U10" s="291">
        <v>2023</v>
      </c>
      <c r="X10" s="292" t="s">
        <v>197</v>
      </c>
      <c r="Y10" s="293" t="s">
        <v>198</v>
      </c>
      <c r="Z10" s="318" t="s">
        <v>199</v>
      </c>
      <c r="AA10" s="294" t="s">
        <v>114</v>
      </c>
      <c r="AB10" s="294" t="s">
        <v>200</v>
      </c>
      <c r="AC10" s="295" t="s">
        <v>201</v>
      </c>
      <c r="AD10" s="296" t="s">
        <v>202</v>
      </c>
    </row>
    <row r="11" spans="4:41" ht="15" customHeight="1" thickTop="1" thickBot="1" x14ac:dyDescent="0.35">
      <c r="D11" t="s">
        <v>76</v>
      </c>
      <c r="F11" s="427"/>
      <c r="Q11" s="29"/>
      <c r="U11" s="79" t="s">
        <v>203</v>
      </c>
      <c r="V11" s="411">
        <f>MGA</f>
        <v>66600</v>
      </c>
      <c r="X11" s="298">
        <v>1</v>
      </c>
      <c r="Y11" s="299">
        <v>46527</v>
      </c>
      <c r="Z11" s="300">
        <f>Tableau1[[#This Row],[Sal_conven]]*Service</f>
        <v>46527</v>
      </c>
      <c r="AA11" s="301">
        <f>IF(Tableau1[[#This Row],[Salaire_cotisable]]&lt;_35__du_MGA,0,(Tableau1[[#This Row],[Salaire_cotisable]]-Exemption)*Taux_de_cotisation)</f>
        <v>2895.0812999999998</v>
      </c>
      <c r="AB11" s="319">
        <f>IF(Tableau1[[#This Row],[Salaire_cotisable]]&lt;_35__du_MGA,0,IF(Facteur_de_réduction*((MGA*Service)-Tableau1[[#This Row],[Salaire_cotisable]])&gt;0,Facteur_de_réduction*((MGA*Service)-Tableau1[[#This Row],[Salaire_cotisable]]),0))</f>
        <v>325.18259999999998</v>
      </c>
      <c r="AC11" s="302">
        <f>IF(Tableau1[[#This Row],[Salaire_cotisable]]&gt;_35__du_MGA,Tableau1[[#This Row],[Taux]]-Tableau1[[#This Row],[Réduction]],0)</f>
        <v>2569.8986999999997</v>
      </c>
      <c r="AD11" s="322">
        <f>Tableau1[[#This Row],[Cotisation]]/26</f>
        <v>98.842257692307683</v>
      </c>
      <c r="AJ11" s="199"/>
      <c r="AK11" s="217">
        <v>2014</v>
      </c>
      <c r="AL11" s="394">
        <v>2017</v>
      </c>
      <c r="AM11" s="394">
        <v>2022</v>
      </c>
      <c r="AN11" s="218">
        <v>2022</v>
      </c>
    </row>
    <row r="12" spans="4:41" ht="15" customHeight="1" thickTop="1" x14ac:dyDescent="0.3">
      <c r="D12" s="142" t="s">
        <v>77</v>
      </c>
      <c r="E12" s="149">
        <v>36.299999999999997</v>
      </c>
      <c r="F12" s="427"/>
      <c r="H12" s="43" t="s">
        <v>108</v>
      </c>
      <c r="U12" s="75" t="s">
        <v>204</v>
      </c>
      <c r="V12" s="412">
        <f>35%*V11</f>
        <v>23310</v>
      </c>
      <c r="X12" s="304">
        <v>2</v>
      </c>
      <c r="Y12" s="305">
        <v>49636</v>
      </c>
      <c r="Z12" s="306">
        <f>Tableau1[[#This Row],[Sal_conven]]*Service</f>
        <v>49636</v>
      </c>
      <c r="AA12" s="307">
        <f>IF(Tableau1[[#This Row],[Salaire_cotisable]]&lt;_35__du_MGA,0,(Tableau1[[#This Row],[Salaire_cotisable]]-Exemption)*Taux_de_cotisation)</f>
        <v>3196.3434000000002</v>
      </c>
      <c r="AB12" s="320">
        <f>IF(Tableau1[[#This Row],[Salaire_cotisable]]&lt;_35__du_MGA,0,IF(Facteur_de_réduction*((MGA*Service)-Tableau1[[#This Row],[Salaire_cotisable]])&gt;0,Facteur_de_réduction*((MGA*Service)-Tableau1[[#This Row],[Salaire_cotisable]]),0))</f>
        <v>274.8168</v>
      </c>
      <c r="AC12" s="308">
        <f>IF(Tableau1[[#This Row],[Salaire_cotisable]]&gt;_35__du_MGA,Tableau1[[#This Row],[Taux]]-Tableau1[[#This Row],[Réduction]],0)</f>
        <v>2921.5266000000001</v>
      </c>
      <c r="AD12" s="322">
        <f>Tableau1[[#This Row],[Cotisation]]/26</f>
        <v>112.3664076923077</v>
      </c>
      <c r="AJ12" s="223" t="s">
        <v>143</v>
      </c>
      <c r="AK12" s="224">
        <v>0.49</v>
      </c>
      <c r="AL12" s="395">
        <v>0.52</v>
      </c>
      <c r="AM12" s="395">
        <f>AL18/(AK18+AL18)</f>
        <v>0.47040912462683798</v>
      </c>
      <c r="AN12" s="225">
        <f>AL18/(AK18+AL18)</f>
        <v>0.47040912462683798</v>
      </c>
    </row>
    <row r="13" spans="4:41" ht="15" customHeight="1" thickBot="1" x14ac:dyDescent="0.35">
      <c r="D13" s="143" t="s">
        <v>78</v>
      </c>
      <c r="E13" s="150">
        <v>70000</v>
      </c>
      <c r="K13" t="s">
        <v>393</v>
      </c>
      <c r="U13" s="75" t="s">
        <v>205</v>
      </c>
      <c r="V13" s="413">
        <f>25%*MGA</f>
        <v>16650</v>
      </c>
      <c r="X13" s="304">
        <v>3</v>
      </c>
      <c r="Y13" s="305">
        <v>52954</v>
      </c>
      <c r="Z13" s="306">
        <f>Tableau1[[#This Row],[Sal_conven]]*Service</f>
        <v>52954</v>
      </c>
      <c r="AA13" s="307">
        <f>IF(Tableau1[[#This Row],[Salaire_cotisable]]&lt;_35__du_MGA,0,(Tableau1[[#This Row],[Salaire_cotisable]]-Exemption)*Taux_de_cotisation)</f>
        <v>3517.8575999999998</v>
      </c>
      <c r="AB13" s="320">
        <f>IF(Tableau1[[#This Row],[Salaire_cotisable]]&lt;_35__du_MGA,0,IF(Facteur_de_réduction*((MGA*Service)-Tableau1[[#This Row],[Salaire_cotisable]])&gt;0,Facteur_de_réduction*((MGA*Service)-Tableau1[[#This Row],[Salaire_cotisable]]),0))</f>
        <v>221.06519999999998</v>
      </c>
      <c r="AC13" s="308">
        <f>IF(Tableau1[[#This Row],[Salaire_cotisable]]&gt;_35__du_MGA,Tableau1[[#This Row],[Taux]]-Tableau1[[#This Row],[Réduction]],0)</f>
        <v>3296.7923999999998</v>
      </c>
      <c r="AD13" s="322">
        <f>Tableau1[[#This Row],[Cotisation]]/26</f>
        <v>126.79970769230769</v>
      </c>
      <c r="AJ13" s="209" t="s">
        <v>146</v>
      </c>
      <c r="AK13" s="230">
        <v>2.2200000000000002</v>
      </c>
      <c r="AL13" s="396">
        <v>2.2999999999999998</v>
      </c>
      <c r="AM13" s="396"/>
      <c r="AN13" s="231"/>
    </row>
    <row r="14" spans="4:41" ht="15" customHeight="1" thickTop="1" thickBot="1" x14ac:dyDescent="0.35">
      <c r="D14" s="144" t="s">
        <v>79</v>
      </c>
      <c r="E14" s="145">
        <f>2%*E13*E12</f>
        <v>50819.999999999993</v>
      </c>
      <c r="L14" s="175">
        <v>2024</v>
      </c>
      <c r="M14" s="176">
        <v>2025</v>
      </c>
      <c r="U14" s="75" t="s">
        <v>206</v>
      </c>
      <c r="V14" s="414">
        <v>9.69E-2</v>
      </c>
      <c r="X14" s="304">
        <v>4</v>
      </c>
      <c r="Y14" s="305">
        <v>54127</v>
      </c>
      <c r="Z14" s="306">
        <f>Tableau1[[#This Row],[Sal_conven]]*Service</f>
        <v>54127</v>
      </c>
      <c r="AA14" s="307">
        <f>IF(Tableau1[[#This Row],[Salaire_cotisable]]&lt;_35__du_MGA,0,(Tableau1[[#This Row],[Salaire_cotisable]]-Exemption)*Taux_de_cotisation)</f>
        <v>3631.5212999999999</v>
      </c>
      <c r="AB14" s="320">
        <f>IF(Tableau1[[#This Row],[Salaire_cotisable]]&lt;_35__du_MGA,0,IF(Facteur_de_réduction*((MGA*Service)-Tableau1[[#This Row],[Salaire_cotisable]])&gt;0,Facteur_de_réduction*((MGA*Service)-Tableau1[[#This Row],[Salaire_cotisable]]),0))</f>
        <v>202.06259999999997</v>
      </c>
      <c r="AC14" s="308">
        <f>IF(Tableau1[[#This Row],[Salaire_cotisable]]&gt;_35__du_MGA,Tableau1[[#This Row],[Taux]]-Tableau1[[#This Row],[Réduction]],0)</f>
        <v>3429.4587000000001</v>
      </c>
      <c r="AD14" s="322">
        <f>Tableau1[[#This Row],[Cotisation]]/26</f>
        <v>131.9022576923077</v>
      </c>
    </row>
    <row r="15" spans="4:41" ht="15" customHeight="1" thickTop="1" thickBot="1" x14ac:dyDescent="0.35">
      <c r="H15" s="79" t="str">
        <f>H6</f>
        <v xml:space="preserve">MGA 2023 : </v>
      </c>
      <c r="I15" s="316">
        <f>MGA</f>
        <v>66600</v>
      </c>
      <c r="K15" s="79" t="s">
        <v>109</v>
      </c>
      <c r="L15" s="177">
        <v>0.04</v>
      </c>
      <c r="M15" s="178">
        <v>0.04</v>
      </c>
      <c r="U15" s="75" t="s">
        <v>207</v>
      </c>
      <c r="V15" s="415">
        <v>1.6199999999999999E-2</v>
      </c>
      <c r="X15" s="304">
        <v>5</v>
      </c>
      <c r="Y15" s="305">
        <v>55326</v>
      </c>
      <c r="Z15" s="306">
        <f>Tableau1[[#This Row],[Sal_conven]]*Service</f>
        <v>55326</v>
      </c>
      <c r="AA15" s="307">
        <f>IF(Tableau1[[#This Row],[Salaire_cotisable]]&lt;_35__du_MGA,0,(Tableau1[[#This Row],[Salaire_cotisable]]-Exemption)*Taux_de_cotisation)</f>
        <v>3747.7044000000001</v>
      </c>
      <c r="AB15" s="320">
        <f>IF(Tableau1[[#This Row],[Salaire_cotisable]]&lt;_35__du_MGA,0,IF(Facteur_de_réduction*((MGA*Service)-Tableau1[[#This Row],[Salaire_cotisable]])&gt;0,Facteur_de_réduction*((MGA*Service)-Tableau1[[#This Row],[Salaire_cotisable]]),0))</f>
        <v>182.6388</v>
      </c>
      <c r="AC15" s="308">
        <f>IF(Tableau1[[#This Row],[Salaire_cotisable]]&gt;_35__du_MGA,Tableau1[[#This Row],[Taux]]-Tableau1[[#This Row],[Réduction]],0)</f>
        <v>3565.0655999999999</v>
      </c>
      <c r="AD15" s="322">
        <f>Tableau1[[#This Row],[Cotisation]]/26</f>
        <v>137.11790769230768</v>
      </c>
      <c r="AJ15" t="s">
        <v>387</v>
      </c>
    </row>
    <row r="16" spans="4:41" ht="15" customHeight="1" thickTop="1" thickBot="1" x14ac:dyDescent="0.35">
      <c r="D16" t="s">
        <v>80</v>
      </c>
      <c r="H16" s="173">
        <v>1.07</v>
      </c>
      <c r="I16" s="94">
        <f>H16*I15</f>
        <v>71262</v>
      </c>
      <c r="K16" s="75" t="s">
        <v>110</v>
      </c>
      <c r="L16" s="179">
        <f>I16-I15</f>
        <v>4662</v>
      </c>
      <c r="M16" s="180">
        <f>I17-I15</f>
        <v>9324</v>
      </c>
      <c r="U16" s="75" t="s">
        <v>391</v>
      </c>
      <c r="V16" s="413">
        <v>193715</v>
      </c>
      <c r="X16" s="304">
        <v>6</v>
      </c>
      <c r="Y16" s="305">
        <v>56550</v>
      </c>
      <c r="Z16" s="306">
        <f>Tableau1[[#This Row],[Sal_conven]]*Service</f>
        <v>56550</v>
      </c>
      <c r="AA16" s="307">
        <f>IF(Tableau1[[#This Row],[Salaire_cotisable]]&lt;_35__du_MGA,0,(Tableau1[[#This Row],[Salaire_cotisable]]-Exemption)*Taux_de_cotisation)</f>
        <v>3866.31</v>
      </c>
      <c r="AB16" s="320">
        <f>IF(Tableau1[[#This Row],[Salaire_cotisable]]&lt;_35__du_MGA,0,IF(Facteur_de_réduction*((MGA*Service)-Tableau1[[#This Row],[Salaire_cotisable]])&gt;0,Facteur_de_réduction*((MGA*Service)-Tableau1[[#This Row],[Salaire_cotisable]]),0))</f>
        <v>162.81</v>
      </c>
      <c r="AC16" s="308">
        <f>IF(Tableau1[[#This Row],[Salaire_cotisable]]&gt;_35__du_MGA,Tableau1[[#This Row],[Taux]]-Tableau1[[#This Row],[Réduction]],0)</f>
        <v>3703.5</v>
      </c>
      <c r="AD16" s="322">
        <f>Tableau1[[#This Row],[Cotisation]]/26</f>
        <v>142.44230769230768</v>
      </c>
      <c r="AJ16" s="586" t="s">
        <v>120</v>
      </c>
      <c r="AK16" s="588" t="s">
        <v>121</v>
      </c>
      <c r="AL16" s="588" t="s">
        <v>122</v>
      </c>
      <c r="AM16" s="588" t="s">
        <v>123</v>
      </c>
      <c r="AN16" s="588" t="s">
        <v>124</v>
      </c>
      <c r="AO16" s="584" t="s">
        <v>125</v>
      </c>
    </row>
    <row r="17" spans="4:41" ht="15" customHeight="1" thickTop="1" thickBot="1" x14ac:dyDescent="0.35">
      <c r="D17" s="142" t="s">
        <v>81</v>
      </c>
      <c r="E17" s="149">
        <v>33.6</v>
      </c>
      <c r="H17" s="174">
        <v>1.1399999999999999</v>
      </c>
      <c r="I17" s="95">
        <f>H17*I15</f>
        <v>75924</v>
      </c>
      <c r="K17" s="75" t="s">
        <v>111</v>
      </c>
      <c r="L17" s="167">
        <f>L15*L16</f>
        <v>186.48</v>
      </c>
      <c r="M17" s="169">
        <f>M15*M16</f>
        <v>372.96</v>
      </c>
      <c r="U17" s="76" t="s">
        <v>208</v>
      </c>
      <c r="V17" s="416">
        <v>7.7299999999999994E-2</v>
      </c>
      <c r="X17" s="304">
        <v>7</v>
      </c>
      <c r="Y17" s="305">
        <v>57804</v>
      </c>
      <c r="Z17" s="306">
        <f>Tableau1[[#This Row],[Sal_conven]]*Service</f>
        <v>57804</v>
      </c>
      <c r="AA17" s="307">
        <f>IF(Tableau1[[#This Row],[Salaire_cotisable]]&lt;_35__du_MGA,0,(Tableau1[[#This Row],[Salaire_cotisable]]-Exemption)*Taux_de_cotisation)</f>
        <v>3987.8226</v>
      </c>
      <c r="AB17" s="320">
        <f>IF(Tableau1[[#This Row],[Salaire_cotisable]]&lt;_35__du_MGA,0,IF(Facteur_de_réduction*((MGA*Service)-Tableau1[[#This Row],[Salaire_cotisable]])&gt;0,Facteur_de_réduction*((MGA*Service)-Tableau1[[#This Row],[Salaire_cotisable]]),0))</f>
        <v>142.49519999999998</v>
      </c>
      <c r="AC17" s="308">
        <f>IF(Tableau1[[#This Row],[Salaire_cotisable]]&gt;_35__du_MGA,Tableau1[[#This Row],[Taux]]-Tableau1[[#This Row],[Réduction]],0)</f>
        <v>3845.3274000000001</v>
      </c>
      <c r="AD17" s="322">
        <f>Tableau1[[#This Row],[Cotisation]]/26</f>
        <v>147.89720769230769</v>
      </c>
      <c r="AJ17" s="587"/>
      <c r="AK17" s="589"/>
      <c r="AL17" s="589"/>
      <c r="AM17" s="589"/>
      <c r="AN17" s="589"/>
      <c r="AO17" s="585"/>
    </row>
    <row r="18" spans="4:41" ht="15" customHeight="1" thickTop="1" thickBot="1" x14ac:dyDescent="0.35">
      <c r="D18" s="143" t="s">
        <v>3</v>
      </c>
      <c r="E18" s="150">
        <v>70000</v>
      </c>
      <c r="K18" s="76" t="s">
        <v>74</v>
      </c>
      <c r="L18" s="170">
        <f>L17+O10</f>
        <v>4067.13</v>
      </c>
      <c r="M18" s="172">
        <f>P10+M17</f>
        <v>4411.3599999999997</v>
      </c>
      <c r="X18" s="304">
        <v>8</v>
      </c>
      <c r="Y18" s="305">
        <v>60263</v>
      </c>
      <c r="Z18" s="306">
        <f>Tableau1[[#This Row],[Sal_conven]]*Service</f>
        <v>60263</v>
      </c>
      <c r="AA18" s="307">
        <f>IF(Tableau1[[#This Row],[Salaire_cotisable]]&lt;_35__du_MGA,0,(Tableau1[[#This Row],[Salaire_cotisable]]-Exemption)*Taux_de_cotisation)</f>
        <v>4226.0996999999998</v>
      </c>
      <c r="AB18" s="320">
        <f>IF(Tableau1[[#This Row],[Salaire_cotisable]]&lt;_35__du_MGA,0,IF(Facteur_de_réduction*((MGA*Service)-Tableau1[[#This Row],[Salaire_cotisable]])&gt;0,Facteur_de_réduction*((MGA*Service)-Tableau1[[#This Row],[Salaire_cotisable]]),0))</f>
        <v>102.65939999999999</v>
      </c>
      <c r="AC18" s="308">
        <f>IF(Tableau1[[#This Row],[Salaire_cotisable]]&gt;_35__du_MGA,Tableau1[[#This Row],[Taux]]-Tableau1[[#This Row],[Réduction]],0)</f>
        <v>4123.4403000000002</v>
      </c>
      <c r="AD18" s="322">
        <f>Tableau1[[#This Row],[Cotisation]]/26</f>
        <v>158.59385769230769</v>
      </c>
      <c r="AJ18" s="200" t="s">
        <v>126</v>
      </c>
      <c r="AK18" s="201">
        <v>613271</v>
      </c>
      <c r="AL18" s="202">
        <v>544738</v>
      </c>
      <c r="AM18" s="202">
        <v>319481</v>
      </c>
      <c r="AN18" s="397">
        <v>21835</v>
      </c>
      <c r="AO18" s="402">
        <f>SUM(AK18:AN18)</f>
        <v>1499325</v>
      </c>
    </row>
    <row r="19" spans="4:41" ht="15" customHeight="1" thickTop="1" thickBot="1" x14ac:dyDescent="0.35">
      <c r="D19" s="144" t="s">
        <v>82</v>
      </c>
      <c r="E19" s="145">
        <f>2%*E18*E17</f>
        <v>47040</v>
      </c>
      <c r="U19" s="418" t="s">
        <v>31</v>
      </c>
      <c r="V19" s="417" t="s">
        <v>93</v>
      </c>
      <c r="X19" s="304">
        <v>9</v>
      </c>
      <c r="Y19" s="305">
        <v>62823</v>
      </c>
      <c r="Z19" s="306">
        <f>Tableau1[[#This Row],[Sal_conven]]*Service</f>
        <v>62823</v>
      </c>
      <c r="AA19" s="307">
        <f>IF(Tableau1[[#This Row],[Salaire_cotisable]]&lt;_35__du_MGA,0,(Tableau1[[#This Row],[Salaire_cotisable]]-Exemption)*Taux_de_cotisation)</f>
        <v>4474.1637000000001</v>
      </c>
      <c r="AB19" s="320">
        <f>IF(Tableau1[[#This Row],[Salaire_cotisable]]&lt;_35__du_MGA,0,IF(Facteur_de_réduction*((MGA*Service)-Tableau1[[#This Row],[Salaire_cotisable]])&gt;0,Facteur_de_réduction*((MGA*Service)-Tableau1[[#This Row],[Salaire_cotisable]]),0))</f>
        <v>61.187399999999997</v>
      </c>
      <c r="AC19" s="308">
        <f>IF(Tableau1[[#This Row],[Salaire_cotisable]]&gt;_35__du_MGA,Tableau1[[#This Row],[Taux]]-Tableau1[[#This Row],[Réduction]],0)</f>
        <v>4412.9763000000003</v>
      </c>
      <c r="AD19" s="322">
        <f>Tableau1[[#This Row],[Cotisation]]/26</f>
        <v>169.72985769230769</v>
      </c>
      <c r="AJ19" s="200" t="s">
        <v>127</v>
      </c>
      <c r="AK19" s="203">
        <v>30978</v>
      </c>
      <c r="AL19" s="204">
        <v>4117</v>
      </c>
      <c r="AM19" s="204">
        <v>34587</v>
      </c>
      <c r="AN19" s="398">
        <v>3079</v>
      </c>
      <c r="AO19" s="403">
        <f t="shared" ref="AO19:AO32" si="0">SUM(AK19:AN19)</f>
        <v>72761</v>
      </c>
    </row>
    <row r="20" spans="4:41" ht="15" customHeight="1" thickTop="1" thickBot="1" x14ac:dyDescent="0.35">
      <c r="U20" s="419">
        <v>2023</v>
      </c>
      <c r="V20" s="420">
        <v>1.6199999999999999E-2</v>
      </c>
      <c r="X20" s="310">
        <v>10</v>
      </c>
      <c r="Y20" s="311">
        <v>65493</v>
      </c>
      <c r="Z20" s="312">
        <f>Tableau1[[#This Row],[Sal_conven]]*Service</f>
        <v>65493</v>
      </c>
      <c r="AA20" s="313">
        <f>IF(Tableau1[[#This Row],[Salaire_cotisable]]&lt;_35__du_MGA,0,(Tableau1[[#This Row],[Salaire_cotisable]]-Exemption)*Taux_de_cotisation)</f>
        <v>4732.8867</v>
      </c>
      <c r="AB20" s="321">
        <f>IF(Tableau1[[#This Row],[Salaire_cotisable]]&lt;_35__du_MGA,0,IF(Facteur_de_réduction*((MGA*Service)-Tableau1[[#This Row],[Salaire_cotisable]])&gt;0,Facteur_de_réduction*((MGA*Service)-Tableau1[[#This Row],[Salaire_cotisable]]),0))</f>
        <v>17.933399999999999</v>
      </c>
      <c r="AC20" s="314">
        <f>IF(Tableau1[[#This Row],[Salaire_cotisable]]&gt;_35__du_MGA,Tableau1[[#This Row],[Taux]]-Tableau1[[#This Row],[Réduction]],0)</f>
        <v>4714.9533000000001</v>
      </c>
      <c r="AD20" s="322">
        <f>Tableau1[[#This Row],[Cotisation]]/26</f>
        <v>181.34435769230771</v>
      </c>
      <c r="AJ20" s="200" t="s">
        <v>128</v>
      </c>
      <c r="AK20" s="205">
        <v>0</v>
      </c>
      <c r="AL20" s="204">
        <v>222</v>
      </c>
      <c r="AM20" s="204">
        <v>26320</v>
      </c>
      <c r="AN20" s="398">
        <v>5600</v>
      </c>
      <c r="AO20" s="403">
        <f t="shared" si="0"/>
        <v>32142</v>
      </c>
    </row>
    <row r="21" spans="4:41" ht="15" thickTop="1" x14ac:dyDescent="0.3">
      <c r="D21" s="142" t="s">
        <v>83</v>
      </c>
      <c r="E21" s="149">
        <v>6</v>
      </c>
      <c r="U21" s="421">
        <v>2022</v>
      </c>
      <c r="V21" s="422">
        <v>1.78E-2</v>
      </c>
      <c r="X21" s="304">
        <v>11</v>
      </c>
      <c r="Y21" s="305">
        <v>68720</v>
      </c>
      <c r="Z21" s="306">
        <f>Tableau1[[#This Row],[Sal_conven]]*Service</f>
        <v>68720</v>
      </c>
      <c r="AA21" s="307">
        <f>IF(Tableau1[[#This Row],[Salaire_cotisable]]&lt;_35__du_MGA,0,(Tableau1[[#This Row],[Salaire_cotisable]]-Exemption)*Taux_de_cotisation)</f>
        <v>5045.5829999999996</v>
      </c>
      <c r="AB21" s="320">
        <f>IF(Tableau1[[#This Row],[Salaire_cotisable]]&lt;_35__du_MGA,0,IF(Facteur_de_réduction*((MGA*Service)-Tableau1[[#This Row],[Salaire_cotisable]])&gt;0,Facteur_de_réduction*((MGA*Service)-Tableau1[[#This Row],[Salaire_cotisable]]),0))</f>
        <v>0</v>
      </c>
      <c r="AC21" s="308">
        <f>IF(Tableau1[[#This Row],[Salaire_cotisable]]&gt;_35__du_MGA,Tableau1[[#This Row],[Taux]]-Tableau1[[#This Row],[Réduction]],0)</f>
        <v>5045.5829999999996</v>
      </c>
      <c r="AD21" s="322">
        <f>Tableau1[[#This Row],[Cotisation]]/26</f>
        <v>194.06088461538459</v>
      </c>
      <c r="AJ21" s="200" t="s">
        <v>129</v>
      </c>
      <c r="AK21" s="205">
        <v>0</v>
      </c>
      <c r="AL21" s="206">
        <v>10</v>
      </c>
      <c r="AM21" s="204">
        <v>9388</v>
      </c>
      <c r="AN21" s="398">
        <v>4949</v>
      </c>
      <c r="AO21" s="403">
        <f t="shared" si="0"/>
        <v>14347</v>
      </c>
    </row>
    <row r="22" spans="4:41" ht="15" thickBot="1" x14ac:dyDescent="0.35">
      <c r="D22" s="143" t="s">
        <v>84</v>
      </c>
      <c r="E22" s="151">
        <f>E21*0.5%</f>
        <v>0.03</v>
      </c>
      <c r="H22" t="s">
        <v>245</v>
      </c>
      <c r="U22" s="421">
        <v>2021</v>
      </c>
      <c r="V22" s="422">
        <v>1.84E-2</v>
      </c>
      <c r="X22" s="304">
        <v>12</v>
      </c>
      <c r="Y22" s="305">
        <v>72150</v>
      </c>
      <c r="Z22" s="306">
        <f>Tableau1[[#This Row],[Sal_conven]]*Service</f>
        <v>72150</v>
      </c>
      <c r="AA22" s="307">
        <f>IF(Tableau1[[#This Row],[Salaire_cotisable]]&lt;_35__du_MGA,0,(Tableau1[[#This Row],[Salaire_cotisable]]-Exemption)*Taux_de_cotisation)</f>
        <v>5377.95</v>
      </c>
      <c r="AB22" s="320">
        <f>IF(Tableau1[[#This Row],[Salaire_cotisable]]&lt;_35__du_MGA,0,IF(Facteur_de_réduction*((MGA*Service)-Tableau1[[#This Row],[Salaire_cotisable]])&gt;0,Facteur_de_réduction*((MGA*Service)-Tableau1[[#This Row],[Salaire_cotisable]]),0))</f>
        <v>0</v>
      </c>
      <c r="AC22" s="308">
        <f>IF(Tableau1[[#This Row],[Salaire_cotisable]]&gt;_35__du_MGA,Tableau1[[#This Row],[Taux]]-Tableau1[[#This Row],[Réduction]],0)</f>
        <v>5377.95</v>
      </c>
      <c r="AD22" s="322">
        <f>Tableau1[[#This Row],[Cotisation]]/26</f>
        <v>206.84423076923076</v>
      </c>
      <c r="AJ22" s="200" t="s">
        <v>130</v>
      </c>
      <c r="AK22" s="205">
        <v>11</v>
      </c>
      <c r="AL22" s="206">
        <v>1</v>
      </c>
      <c r="AM22" s="204">
        <v>3457</v>
      </c>
      <c r="AN22" s="399">
        <v>911</v>
      </c>
      <c r="AO22" s="403">
        <f t="shared" si="0"/>
        <v>4380</v>
      </c>
    </row>
    <row r="23" spans="4:41" ht="15.6" thickTop="1" thickBot="1" x14ac:dyDescent="0.35">
      <c r="D23" s="144" t="s">
        <v>85</v>
      </c>
      <c r="E23" s="145">
        <f>E19-(E19*E22)</f>
        <v>45628.800000000003</v>
      </c>
      <c r="H23" t="s">
        <v>246</v>
      </c>
      <c r="I23" s="29">
        <f>E19-E23</f>
        <v>1411.1999999999971</v>
      </c>
      <c r="K23" s="29">
        <f>I23*27</f>
        <v>38102.399999999921</v>
      </c>
      <c r="U23" s="421">
        <v>2020</v>
      </c>
      <c r="V23" s="422">
        <v>1.89E-2</v>
      </c>
      <c r="X23" s="304">
        <v>13</v>
      </c>
      <c r="Y23" s="305">
        <v>75745</v>
      </c>
      <c r="Z23" s="306">
        <f>Tableau1[[#This Row],[Sal_conven]]*Service</f>
        <v>75745</v>
      </c>
      <c r="AA23" s="307">
        <f>IF(Tableau1[[#This Row],[Salaire_cotisable]]&lt;_35__du_MGA,0,(Tableau1[[#This Row],[Salaire_cotisable]]-Exemption)*Taux_de_cotisation)</f>
        <v>5726.3055000000004</v>
      </c>
      <c r="AB23" s="320">
        <f>IF(Tableau1[[#This Row],[Salaire_cotisable]]&lt;_35__du_MGA,0,IF(Facteur_de_réduction*((MGA*Service)-Tableau1[[#This Row],[Salaire_cotisable]])&gt;0,Facteur_de_réduction*((MGA*Service)-Tableau1[[#This Row],[Salaire_cotisable]]),0))</f>
        <v>0</v>
      </c>
      <c r="AC23" s="308">
        <f>IF(Tableau1[[#This Row],[Salaire_cotisable]]&gt;_35__du_MGA,Tableau1[[#This Row],[Taux]]-Tableau1[[#This Row],[Réduction]],0)</f>
        <v>5726.3055000000004</v>
      </c>
      <c r="AD23" s="322">
        <f>Tableau1[[#This Row],[Cotisation]]/26</f>
        <v>220.24251923076923</v>
      </c>
      <c r="AJ23" s="200" t="s">
        <v>131</v>
      </c>
      <c r="AK23" s="203">
        <v>2028</v>
      </c>
      <c r="AL23" s="204">
        <v>1633</v>
      </c>
      <c r="AM23" s="204">
        <v>2825</v>
      </c>
      <c r="AN23" s="399">
        <v>498</v>
      </c>
      <c r="AO23" s="403">
        <f t="shared" si="0"/>
        <v>6984</v>
      </c>
    </row>
    <row r="24" spans="4:41" ht="15" thickTop="1" x14ac:dyDescent="0.3">
      <c r="H24" t="s">
        <v>247</v>
      </c>
      <c r="U24" s="421">
        <v>2019</v>
      </c>
      <c r="V24" s="422">
        <v>1.84E-2</v>
      </c>
      <c r="X24" s="304">
        <v>14</v>
      </c>
      <c r="Y24" s="305">
        <v>79522</v>
      </c>
      <c r="Z24" s="306">
        <f>Tableau1[[#This Row],[Sal_conven]]*Service</f>
        <v>79522</v>
      </c>
      <c r="AA24" s="307">
        <f>IF(Tableau1[[#This Row],[Salaire_cotisable]]&lt;_35__du_MGA,0,(Tableau1[[#This Row],[Salaire_cotisable]]-Exemption)*Taux_de_cotisation)</f>
        <v>6092.2968000000001</v>
      </c>
      <c r="AB24" s="320">
        <f>IF(Tableau1[[#This Row],[Salaire_cotisable]]&lt;_35__du_MGA,0,IF(Facteur_de_réduction*((MGA*Service)-Tableau1[[#This Row],[Salaire_cotisable]])&gt;0,Facteur_de_réduction*((MGA*Service)-Tableau1[[#This Row],[Salaire_cotisable]]),0))</f>
        <v>0</v>
      </c>
      <c r="AC24" s="308">
        <f>IF(Tableau1[[#This Row],[Salaire_cotisable]]&gt;_35__du_MGA,Tableau1[[#This Row],[Taux]]-Tableau1[[#This Row],[Réduction]],0)</f>
        <v>6092.2968000000001</v>
      </c>
      <c r="AD24" s="322">
        <f>Tableau1[[#This Row],[Cotisation]]/26</f>
        <v>234.31910769230768</v>
      </c>
      <c r="AJ24" s="200" t="s">
        <v>132</v>
      </c>
      <c r="AK24" s="205"/>
      <c r="AL24" s="206">
        <v>0</v>
      </c>
      <c r="AM24" s="206">
        <v>109</v>
      </c>
      <c r="AN24" s="399">
        <v>3</v>
      </c>
      <c r="AO24" s="404">
        <f t="shared" si="0"/>
        <v>112</v>
      </c>
    </row>
    <row r="25" spans="4:41" x14ac:dyDescent="0.3">
      <c r="H25" t="s">
        <v>248</v>
      </c>
      <c r="U25" s="421">
        <v>2018</v>
      </c>
      <c r="V25" s="422">
        <v>1.8599999999999998E-2</v>
      </c>
      <c r="X25" s="304">
        <v>15</v>
      </c>
      <c r="Y25" s="305">
        <v>83480</v>
      </c>
      <c r="Z25" s="306">
        <f>Tableau1[[#This Row],[Sal_conven]]*Service</f>
        <v>83480</v>
      </c>
      <c r="AA25" s="307">
        <f>IF(Tableau1[[#This Row],[Salaire_cotisable]]&lt;_35__du_MGA,0,(Tableau1[[#This Row],[Salaire_cotisable]]-Exemption)*Taux_de_cotisation)</f>
        <v>6475.8270000000002</v>
      </c>
      <c r="AB25" s="320">
        <f>IF(Tableau1[[#This Row],[Salaire_cotisable]]&lt;_35__du_MGA,0,IF(Facteur_de_réduction*((MGA*Service)-Tableau1[[#This Row],[Salaire_cotisable]])&gt;0,Facteur_de_réduction*((MGA*Service)-Tableau1[[#This Row],[Salaire_cotisable]]),0))</f>
        <v>0</v>
      </c>
      <c r="AC25" s="308">
        <f>IF(Tableau1[[#This Row],[Salaire_cotisable]]&gt;_35__du_MGA,Tableau1[[#This Row],[Taux]]-Tableau1[[#This Row],[Réduction]],0)</f>
        <v>6475.8270000000002</v>
      </c>
      <c r="AD25" s="322">
        <f>Tableau1[[#This Row],[Cotisation]]/26</f>
        <v>249.07026923076924</v>
      </c>
      <c r="AJ25" s="200" t="s">
        <v>133</v>
      </c>
      <c r="AK25" s="203">
        <v>5791</v>
      </c>
      <c r="AL25" s="206">
        <v>277</v>
      </c>
      <c r="AM25" s="204">
        <v>5284</v>
      </c>
      <c r="AN25" s="399">
        <v>947</v>
      </c>
      <c r="AO25" s="403">
        <f t="shared" si="0"/>
        <v>12299</v>
      </c>
    </row>
    <row r="26" spans="4:41" ht="15" thickBot="1" x14ac:dyDescent="0.35">
      <c r="D26" t="s">
        <v>86</v>
      </c>
      <c r="U26" s="421">
        <v>2017</v>
      </c>
      <c r="V26" s="422">
        <v>1.8800000000000001E-2</v>
      </c>
      <c r="X26" s="304">
        <v>16</v>
      </c>
      <c r="Y26" s="305">
        <v>87647</v>
      </c>
      <c r="Z26" s="306">
        <f>Tableau1[[#This Row],[Sal_conven]]*Service</f>
        <v>87647</v>
      </c>
      <c r="AA26" s="307">
        <f>IF(Tableau1[[#This Row],[Salaire_cotisable]]&lt;_35__du_MGA,0,(Tableau1[[#This Row],[Salaire_cotisable]]-Exemption)*Taux_de_cotisation)</f>
        <v>6879.6093000000001</v>
      </c>
      <c r="AB26" s="320">
        <f>IF(Tableau1[[#This Row],[Salaire_cotisable]]&lt;_35__du_MGA,0,IF(Facteur_de_réduction*((MGA*Service)-Tableau1[[#This Row],[Salaire_cotisable]])&gt;0,Facteur_de_réduction*((MGA*Service)-Tableau1[[#This Row],[Salaire_cotisable]]),0))</f>
        <v>0</v>
      </c>
      <c r="AC26" s="308">
        <f>IF(Tableau1[[#This Row],[Salaire_cotisable]]&gt;_35__du_MGA,Tableau1[[#This Row],[Taux]]-Tableau1[[#This Row],[Réduction]],0)</f>
        <v>6879.6093000000001</v>
      </c>
      <c r="AD26" s="322">
        <f>Tableau1[[#This Row],[Cotisation]]/26</f>
        <v>264.60035769230768</v>
      </c>
      <c r="AJ26" s="200" t="s">
        <v>134</v>
      </c>
      <c r="AK26" s="203">
        <v>4033</v>
      </c>
      <c r="AL26" s="204">
        <v>3078</v>
      </c>
      <c r="AM26" s="204">
        <v>2084</v>
      </c>
      <c r="AN26" s="399">
        <v>290</v>
      </c>
      <c r="AO26" s="403">
        <f t="shared" si="0"/>
        <v>9485</v>
      </c>
    </row>
    <row r="27" spans="4:41" ht="15" thickTop="1" x14ac:dyDescent="0.3">
      <c r="D27" s="142" t="s">
        <v>70</v>
      </c>
      <c r="E27" s="317">
        <f>MGA</f>
        <v>66600</v>
      </c>
      <c r="U27" s="421">
        <v>2016</v>
      </c>
      <c r="V27" s="422">
        <v>1.89E-2</v>
      </c>
      <c r="X27" s="304">
        <v>17</v>
      </c>
      <c r="Y27" s="305">
        <v>92027</v>
      </c>
      <c r="Z27" s="306">
        <f>Tableau1[[#This Row],[Sal_conven]]*Service</f>
        <v>92027</v>
      </c>
      <c r="AA27" s="307">
        <f>IF(Tableau1[[#This Row],[Salaire_cotisable]]&lt;_35__du_MGA,0,(Tableau1[[#This Row],[Salaire_cotisable]]-Exemption)*Taux_de_cotisation)</f>
        <v>7304.0312999999996</v>
      </c>
      <c r="AB27" s="320">
        <f>IF(Tableau1[[#This Row],[Salaire_cotisable]]&lt;_35__du_MGA,0,IF(Facteur_de_réduction*((MGA*Service)-Tableau1[[#This Row],[Salaire_cotisable]])&gt;0,Facteur_de_réduction*((MGA*Service)-Tableau1[[#This Row],[Salaire_cotisable]]),0))</f>
        <v>0</v>
      </c>
      <c r="AC27" s="308">
        <f>IF(Tableau1[[#This Row],[Salaire_cotisable]]&gt;_35__du_MGA,Tableau1[[#This Row],[Taux]]-Tableau1[[#This Row],[Réduction]],0)</f>
        <v>7304.0312999999996</v>
      </c>
      <c r="AD27" s="322">
        <f>Tableau1[[#This Row],[Cotisation]]/26</f>
        <v>280.92428076923073</v>
      </c>
      <c r="AJ27" s="200" t="s">
        <v>135</v>
      </c>
      <c r="AK27" s="205">
        <v>118</v>
      </c>
      <c r="AL27" s="206">
        <v>66</v>
      </c>
      <c r="AM27" s="206">
        <v>376</v>
      </c>
      <c r="AN27" s="399">
        <v>90</v>
      </c>
      <c r="AO27" s="404">
        <f t="shared" si="0"/>
        <v>650</v>
      </c>
    </row>
    <row r="28" spans="4:41" x14ac:dyDescent="0.3">
      <c r="D28" s="143" t="s">
        <v>87</v>
      </c>
      <c r="E28" s="153">
        <v>3500</v>
      </c>
      <c r="U28" s="421">
        <v>2015</v>
      </c>
      <c r="V28" s="422">
        <v>1.43E-2</v>
      </c>
      <c r="X28" s="304">
        <v>18</v>
      </c>
      <c r="Y28" s="305">
        <v>93527</v>
      </c>
      <c r="Z28" s="306">
        <f>Tableau1[[#This Row],[Sal_conven]]*Service</f>
        <v>93527</v>
      </c>
      <c r="AA28" s="307">
        <f>IF(Tableau1[[#This Row],[Salaire_cotisable]]&lt;_35__du_MGA,0,(Tableau1[[#This Row],[Salaire_cotisable]]-Exemption)*Taux_de_cotisation)</f>
        <v>7449.3813</v>
      </c>
      <c r="AB28" s="320">
        <f>IF(Tableau1[[#This Row],[Salaire_cotisable]]&lt;_35__du_MGA,0,IF(Facteur_de_réduction*((MGA*Service)-Tableau1[[#This Row],[Salaire_cotisable]])&gt;0,Facteur_de_réduction*((MGA*Service)-Tableau1[[#This Row],[Salaire_cotisable]]),0))</f>
        <v>0</v>
      </c>
      <c r="AC28" s="308">
        <f>IF(Tableau1[[#This Row],[Salaire_cotisable]]&gt;_35__du_MGA,Tableau1[[#This Row],[Taux]]-Tableau1[[#This Row],[Réduction]],0)</f>
        <v>7449.3813</v>
      </c>
      <c r="AD28" s="322">
        <f>Tableau1[[#This Row],[Cotisation]]/26</f>
        <v>286.5146653846154</v>
      </c>
      <c r="AJ28" s="200" t="s">
        <v>136</v>
      </c>
      <c r="AK28" s="205">
        <v>354</v>
      </c>
      <c r="AL28" s="206">
        <v>10</v>
      </c>
      <c r="AM28" s="206">
        <v>271</v>
      </c>
      <c r="AN28" s="399">
        <v>136</v>
      </c>
      <c r="AO28" s="404">
        <f t="shared" si="0"/>
        <v>771</v>
      </c>
    </row>
    <row r="29" spans="4:41" x14ac:dyDescent="0.3">
      <c r="D29" s="143" t="s">
        <v>88</v>
      </c>
      <c r="E29" s="146">
        <f>E27-E28</f>
        <v>63100</v>
      </c>
      <c r="H29" t="s">
        <v>249</v>
      </c>
      <c r="U29" s="421">
        <v>2014</v>
      </c>
      <c r="V29" s="422">
        <v>9.9000000000000008E-3</v>
      </c>
      <c r="X29" s="304">
        <v>19</v>
      </c>
      <c r="Y29" s="305">
        <v>95051</v>
      </c>
      <c r="Z29" s="306">
        <f>Tableau1[[#This Row],[Sal_conven]]*Service</f>
        <v>95051</v>
      </c>
      <c r="AA29" s="307">
        <f>IF(Tableau1[[#This Row],[Salaire_cotisable]]&lt;_35__du_MGA,0,(Tableau1[[#This Row],[Salaire_cotisable]]-Exemption)*Taux_de_cotisation)</f>
        <v>7597.0568999999996</v>
      </c>
      <c r="AB29" s="320">
        <f>IF(Tableau1[[#This Row],[Salaire_cotisable]]&lt;_35__du_MGA,0,IF(Facteur_de_réduction*((MGA*Service)-Tableau1[[#This Row],[Salaire_cotisable]])&gt;0,Facteur_de_réduction*((MGA*Service)-Tableau1[[#This Row],[Salaire_cotisable]]),0))</f>
        <v>0</v>
      </c>
      <c r="AC29" s="308">
        <f>IF(Tableau1[[#This Row],[Salaire_cotisable]]&gt;_35__du_MGA,Tableau1[[#This Row],[Taux]]-Tableau1[[#This Row],[Réduction]],0)</f>
        <v>7597.0568999999996</v>
      </c>
      <c r="AD29" s="322">
        <f>Tableau1[[#This Row],[Cotisation]]/26</f>
        <v>292.19449615384616</v>
      </c>
      <c r="AJ29" s="200" t="s">
        <v>137</v>
      </c>
      <c r="AK29" s="205">
        <v>3</v>
      </c>
      <c r="AL29" s="206">
        <v>2</v>
      </c>
      <c r="AM29" s="206">
        <v>6</v>
      </c>
      <c r="AN29" s="399">
        <v>2</v>
      </c>
      <c r="AO29" s="404">
        <f t="shared" si="0"/>
        <v>13</v>
      </c>
    </row>
    <row r="30" spans="4:41" ht="15" thickBot="1" x14ac:dyDescent="0.35">
      <c r="D30" s="143" t="s">
        <v>73</v>
      </c>
      <c r="E30" s="147">
        <v>5.8999999999999997E-2</v>
      </c>
      <c r="U30" s="421">
        <v>2013</v>
      </c>
      <c r="V30" s="422">
        <v>7.1000000000000004E-3</v>
      </c>
      <c r="X30" s="310">
        <v>20</v>
      </c>
      <c r="Y30" s="311">
        <v>96600</v>
      </c>
      <c r="Z30" s="312">
        <f>Tableau1[[#This Row],[Sal_conven]]*Service</f>
        <v>96600</v>
      </c>
      <c r="AA30" s="313">
        <f>IF(Tableau1[[#This Row],[Salaire_cotisable]]&lt;_35__du_MGA,0,(Tableau1[[#This Row],[Salaire_cotisable]]-Exemption)*Taux_de_cotisation)</f>
        <v>7747.1549999999997</v>
      </c>
      <c r="AB30" s="321">
        <f>IF(Tableau1[[#This Row],[Salaire_cotisable]]&lt;_35__du_MGA,0,IF(Facteur_de_réduction*((MGA*Service)-Tableau1[[#This Row],[Salaire_cotisable]])&gt;0,Facteur_de_réduction*((MGA*Service)-Tableau1[[#This Row],[Salaire_cotisable]]),0))</f>
        <v>0</v>
      </c>
      <c r="AC30" s="314">
        <f>IF(Tableau1[[#This Row],[Salaire_cotisable]]&gt;_35__du_MGA,Tableau1[[#This Row],[Taux]]-Tableau1[[#This Row],[Réduction]],0)</f>
        <v>7747.1549999999997</v>
      </c>
      <c r="AD30" s="322">
        <f>Tableau1[[#This Row],[Cotisation]]/26</f>
        <v>297.96749999999997</v>
      </c>
      <c r="AJ30" s="200" t="s">
        <v>138</v>
      </c>
      <c r="AK30" s="205">
        <v>0</v>
      </c>
      <c r="AL30" s="206">
        <v>0</v>
      </c>
      <c r="AM30" s="206">
        <v>3</v>
      </c>
      <c r="AN30" s="399">
        <v>0</v>
      </c>
      <c r="AO30" s="404">
        <f t="shared" si="0"/>
        <v>3</v>
      </c>
    </row>
    <row r="31" spans="4:41" ht="15.6" thickTop="1" thickBot="1" x14ac:dyDescent="0.35">
      <c r="D31" s="144" t="s">
        <v>89</v>
      </c>
      <c r="E31" s="145">
        <f>E30*E29</f>
        <v>3722.8999999999996</v>
      </c>
      <c r="U31" s="423">
        <v>2012</v>
      </c>
      <c r="V31" s="424">
        <v>3.3999999999999998E-3</v>
      </c>
      <c r="X31" t="s">
        <v>390</v>
      </c>
      <c r="AJ31" s="200" t="s">
        <v>139</v>
      </c>
      <c r="AK31" s="205">
        <v>0</v>
      </c>
      <c r="AL31" s="206">
        <v>3</v>
      </c>
      <c r="AM31" s="206">
        <v>70</v>
      </c>
      <c r="AN31" s="399">
        <v>18</v>
      </c>
      <c r="AO31" s="404">
        <f t="shared" si="0"/>
        <v>91</v>
      </c>
    </row>
    <row r="32" spans="4:41" ht="15.6" thickTop="1" thickBot="1" x14ac:dyDescent="0.35">
      <c r="AJ32" s="200" t="s">
        <v>140</v>
      </c>
      <c r="AK32" s="207">
        <v>53</v>
      </c>
      <c r="AL32" s="208">
        <v>7</v>
      </c>
      <c r="AM32" s="208">
        <v>248</v>
      </c>
      <c r="AN32" s="400">
        <v>27</v>
      </c>
      <c r="AO32" s="405">
        <f t="shared" si="0"/>
        <v>335</v>
      </c>
    </row>
    <row r="33" spans="2:43" ht="15.6" thickTop="1" thickBot="1" x14ac:dyDescent="0.35">
      <c r="D33" t="s">
        <v>90</v>
      </c>
      <c r="AJ33" s="209" t="s">
        <v>125</v>
      </c>
      <c r="AK33" s="210">
        <f>SUM(AK18:AK32)</f>
        <v>656640</v>
      </c>
      <c r="AL33" s="211">
        <f t="shared" ref="AL33:AO33" si="1">SUM(AL18:AL32)</f>
        <v>554164</v>
      </c>
      <c r="AM33" s="211">
        <f t="shared" si="1"/>
        <v>404509</v>
      </c>
      <c r="AN33" s="401">
        <f t="shared" si="1"/>
        <v>38385</v>
      </c>
      <c r="AO33" s="406">
        <f t="shared" si="1"/>
        <v>1653698</v>
      </c>
    </row>
    <row r="34" spans="2:43" ht="15.6" thickTop="1" thickBot="1" x14ac:dyDescent="0.35">
      <c r="D34" t="s">
        <v>91</v>
      </c>
    </row>
    <row r="35" spans="2:43" ht="16.5" customHeight="1" thickTop="1" thickBot="1" x14ac:dyDescent="0.35">
      <c r="D35" s="212" t="s">
        <v>31</v>
      </c>
      <c r="E35" s="213" t="s">
        <v>24</v>
      </c>
      <c r="AK35" t="s">
        <v>141</v>
      </c>
    </row>
    <row r="36" spans="2:43" ht="16.5" customHeight="1" thickTop="1" thickBot="1" x14ac:dyDescent="0.35">
      <c r="D36" s="181">
        <v>2023</v>
      </c>
      <c r="E36" s="409">
        <f>MGA</f>
        <v>66600</v>
      </c>
      <c r="AJ36" s="199"/>
      <c r="AK36" s="214">
        <v>1980</v>
      </c>
      <c r="AL36" s="215">
        <v>1990</v>
      </c>
      <c r="AM36" s="215">
        <v>2000</v>
      </c>
      <c r="AN36" s="215">
        <v>2010</v>
      </c>
      <c r="AO36" s="215">
        <v>2020</v>
      </c>
      <c r="AP36" s="215">
        <v>2030</v>
      </c>
      <c r="AQ36" s="216">
        <v>2040</v>
      </c>
    </row>
    <row r="37" spans="2:43" ht="16.5" customHeight="1" thickTop="1" x14ac:dyDescent="0.3">
      <c r="D37" s="183">
        <v>2022</v>
      </c>
      <c r="E37" s="184">
        <v>64900</v>
      </c>
      <c r="AJ37" s="219" t="s">
        <v>142</v>
      </c>
      <c r="AK37" s="220">
        <v>34.9</v>
      </c>
      <c r="AL37" s="221">
        <v>14.5</v>
      </c>
      <c r="AM37" s="221">
        <v>4.4000000000000004</v>
      </c>
      <c r="AN37" s="221">
        <v>2.6</v>
      </c>
      <c r="AO37" s="221">
        <v>1.6</v>
      </c>
      <c r="AP37" s="221">
        <v>1.2</v>
      </c>
      <c r="AQ37" s="222">
        <v>1.1000000000000001</v>
      </c>
    </row>
    <row r="38" spans="2:43" ht="16.5" customHeight="1" x14ac:dyDescent="0.3">
      <c r="D38" s="183">
        <v>2021</v>
      </c>
      <c r="E38" s="184">
        <v>61600</v>
      </c>
      <c r="AJ38" s="226" t="s">
        <v>144</v>
      </c>
      <c r="AK38" s="227" t="s">
        <v>145</v>
      </c>
      <c r="AL38" s="228">
        <v>0.14000000000000001</v>
      </c>
      <c r="AM38" s="228">
        <v>0.22</v>
      </c>
      <c r="AN38" s="228">
        <v>0.49</v>
      </c>
      <c r="AO38" s="228">
        <v>0.52</v>
      </c>
      <c r="AP38" s="228">
        <v>0.51</v>
      </c>
      <c r="AQ38" s="229">
        <v>0.56999999999999995</v>
      </c>
    </row>
    <row r="39" spans="2:43" ht="16.5" customHeight="1" x14ac:dyDescent="0.3">
      <c r="D39" s="183">
        <v>2020</v>
      </c>
      <c r="E39" s="184">
        <v>58700</v>
      </c>
      <c r="AJ39" s="226" t="s">
        <v>147</v>
      </c>
      <c r="AK39" s="227">
        <v>0.3</v>
      </c>
      <c r="AL39" s="232">
        <v>1.6</v>
      </c>
      <c r="AM39" s="232">
        <v>2.2000000000000002</v>
      </c>
      <c r="AN39" s="232">
        <v>2</v>
      </c>
      <c r="AO39" s="232">
        <v>2.7</v>
      </c>
      <c r="AP39" s="232">
        <v>3.3</v>
      </c>
      <c r="AQ39" s="233">
        <v>4</v>
      </c>
    </row>
    <row r="40" spans="2:43" ht="16.5" customHeight="1" thickBot="1" x14ac:dyDescent="0.35">
      <c r="D40" s="272">
        <v>2019</v>
      </c>
      <c r="E40" s="184">
        <v>57400</v>
      </c>
      <c r="AJ40" s="234" t="s">
        <v>148</v>
      </c>
      <c r="AK40" s="235">
        <v>2E-3</v>
      </c>
      <c r="AL40" s="236">
        <v>1.4E-2</v>
      </c>
      <c r="AM40" s="236">
        <v>1.9E-2</v>
      </c>
      <c r="AN40" s="236">
        <v>1.7999999999999999E-2</v>
      </c>
      <c r="AO40" s="236">
        <v>2.4E-2</v>
      </c>
      <c r="AP40" s="236">
        <v>2.9000000000000001E-2</v>
      </c>
      <c r="AQ40" s="237">
        <v>3.5000000000000003E-2</v>
      </c>
    </row>
    <row r="41" spans="2:43" ht="16.5" customHeight="1" thickTop="1" thickBot="1" x14ac:dyDescent="0.35">
      <c r="D41" s="273" t="s">
        <v>92</v>
      </c>
      <c r="E41" s="274">
        <f>AVERAGE(E36:E40)</f>
        <v>61840</v>
      </c>
    </row>
    <row r="42" spans="2:43" ht="15.75" customHeight="1" thickTop="1" thickBot="1" x14ac:dyDescent="0.35"/>
    <row r="43" spans="2:43" ht="15" thickTop="1" x14ac:dyDescent="0.3">
      <c r="D43" s="142" t="s">
        <v>93</v>
      </c>
      <c r="E43" s="148">
        <v>7.0000000000000001E-3</v>
      </c>
    </row>
    <row r="44" spans="2:43" ht="15" thickBot="1" x14ac:dyDescent="0.35">
      <c r="D44" s="143" t="s">
        <v>94</v>
      </c>
      <c r="E44" s="185">
        <v>35</v>
      </c>
      <c r="AK44" t="s">
        <v>95</v>
      </c>
    </row>
    <row r="45" spans="2:43" ht="15.6" thickTop="1" thickBot="1" x14ac:dyDescent="0.35">
      <c r="D45" s="144" t="s">
        <v>84</v>
      </c>
      <c r="E45" s="145">
        <f>E43*E44*E41</f>
        <v>15150.8</v>
      </c>
    </row>
    <row r="46" spans="2:43" ht="15" thickTop="1" x14ac:dyDescent="0.3">
      <c r="AK46" s="592" t="s">
        <v>97</v>
      </c>
      <c r="AL46" s="594" t="s">
        <v>98</v>
      </c>
    </row>
    <row r="47" spans="2:43" ht="15" thickBot="1" x14ac:dyDescent="0.35">
      <c r="AK47" s="593"/>
      <c r="AL47" s="595"/>
    </row>
    <row r="48" spans="2:43" ht="15.6" thickTop="1" thickBot="1" x14ac:dyDescent="0.35">
      <c r="B48" t="s">
        <v>112</v>
      </c>
      <c r="L48" t="s">
        <v>113</v>
      </c>
      <c r="AK48" s="596">
        <v>1.2</v>
      </c>
      <c r="AL48" s="594" t="s">
        <v>102</v>
      </c>
    </row>
    <row r="49" spans="2:38" ht="15.6" thickTop="1" thickBot="1" x14ac:dyDescent="0.35">
      <c r="B49" s="186" t="s">
        <v>31</v>
      </c>
      <c r="C49" s="187" t="s">
        <v>114</v>
      </c>
      <c r="L49" s="425" t="s">
        <v>31</v>
      </c>
      <c r="M49" s="426" t="s">
        <v>115</v>
      </c>
      <c r="AK49" s="597"/>
      <c r="AL49" s="595"/>
    </row>
    <row r="50" spans="2:38" ht="15" thickTop="1" x14ac:dyDescent="0.3">
      <c r="B50" s="190">
        <v>1973</v>
      </c>
      <c r="C50" s="191">
        <v>7.4999999999999997E-2</v>
      </c>
      <c r="L50" s="192">
        <v>1996</v>
      </c>
      <c r="M50" s="193">
        <v>19.8</v>
      </c>
      <c r="AK50" s="598">
        <v>1.1000000000000001</v>
      </c>
      <c r="AL50" s="600" t="s">
        <v>103</v>
      </c>
    </row>
    <row r="51" spans="2:38" ht="15" thickBot="1" x14ac:dyDescent="0.35">
      <c r="B51" s="192">
        <v>1974</v>
      </c>
      <c r="C51" s="194">
        <v>7.4999999999999997E-2</v>
      </c>
      <c r="L51" s="192">
        <f>L50+1</f>
        <v>1997</v>
      </c>
      <c r="M51" s="193">
        <v>22.8</v>
      </c>
      <c r="AK51" s="599"/>
      <c r="AL51" s="595"/>
    </row>
    <row r="52" spans="2:38" ht="15" thickTop="1" x14ac:dyDescent="0.3">
      <c r="B52" s="192">
        <v>1975</v>
      </c>
      <c r="C52" s="194">
        <v>7.4999999999999997E-2</v>
      </c>
      <c r="L52" s="192">
        <f t="shared" ref="L52:L72" si="2">L51+1</f>
        <v>1998</v>
      </c>
      <c r="M52" s="193">
        <v>25.6</v>
      </c>
      <c r="AK52" s="590" t="s">
        <v>106</v>
      </c>
    </row>
    <row r="53" spans="2:38" x14ac:dyDescent="0.3">
      <c r="B53" s="192">
        <v>1976</v>
      </c>
      <c r="C53" s="194">
        <v>7.4999999999999997E-2</v>
      </c>
      <c r="L53" s="192">
        <f t="shared" si="2"/>
        <v>1999</v>
      </c>
      <c r="M53" s="193">
        <v>29.7</v>
      </c>
      <c r="AK53" s="590"/>
    </row>
    <row r="54" spans="2:38" x14ac:dyDescent="0.3">
      <c r="B54" s="192">
        <v>1977</v>
      </c>
      <c r="C54" s="194">
        <v>7.4999999999999997E-2</v>
      </c>
      <c r="L54" s="192">
        <f t="shared" si="2"/>
        <v>2000</v>
      </c>
      <c r="M54" s="193">
        <v>31.6</v>
      </c>
      <c r="AK54" s="590"/>
    </row>
    <row r="55" spans="2:38" x14ac:dyDescent="0.3">
      <c r="B55" s="192">
        <v>1978</v>
      </c>
      <c r="C55" s="194">
        <v>7.4999999999999997E-2</v>
      </c>
      <c r="L55" s="192">
        <f t="shared" si="2"/>
        <v>2001</v>
      </c>
      <c r="M55" s="193">
        <v>30</v>
      </c>
      <c r="AK55" s="590"/>
    </row>
    <row r="56" spans="2:38" x14ac:dyDescent="0.3">
      <c r="B56" s="192">
        <v>1979</v>
      </c>
      <c r="C56" s="194">
        <v>7.4999999999999997E-2</v>
      </c>
      <c r="L56" s="192">
        <f t="shared" si="2"/>
        <v>2002</v>
      </c>
      <c r="M56" s="193">
        <v>27.2</v>
      </c>
      <c r="AK56" s="590"/>
    </row>
    <row r="57" spans="2:38" x14ac:dyDescent="0.3">
      <c r="B57" s="192">
        <v>1980</v>
      </c>
      <c r="C57" s="194">
        <v>7.4999999999999997E-2</v>
      </c>
      <c r="L57" s="192">
        <f t="shared" si="2"/>
        <v>2003</v>
      </c>
      <c r="M57" s="193">
        <v>31</v>
      </c>
      <c r="AK57" s="590"/>
    </row>
    <row r="58" spans="2:38" x14ac:dyDescent="0.3">
      <c r="B58" s="192">
        <v>1981</v>
      </c>
      <c r="C58" s="194">
        <v>7.4999999999999997E-2</v>
      </c>
      <c r="L58" s="192">
        <f t="shared" si="2"/>
        <v>2004</v>
      </c>
      <c r="M58" s="193">
        <v>34.299999999999997</v>
      </c>
      <c r="AK58" s="590"/>
    </row>
    <row r="59" spans="2:38" x14ac:dyDescent="0.3">
      <c r="B59" s="192">
        <v>1982</v>
      </c>
      <c r="C59" s="194">
        <v>7.4999999999999997E-2</v>
      </c>
      <c r="L59" s="192">
        <f t="shared" si="2"/>
        <v>2005</v>
      </c>
      <c r="M59" s="193">
        <v>38.9</v>
      </c>
      <c r="AK59" s="590"/>
    </row>
    <row r="60" spans="2:38" x14ac:dyDescent="0.3">
      <c r="B60" s="192">
        <v>1983</v>
      </c>
      <c r="C60" s="194">
        <v>7.0999999999999994E-2</v>
      </c>
      <c r="L60" s="192">
        <f t="shared" si="2"/>
        <v>2006</v>
      </c>
      <c r="M60" s="193">
        <v>44.2</v>
      </c>
      <c r="AK60" s="590"/>
    </row>
    <row r="61" spans="2:38" x14ac:dyDescent="0.3">
      <c r="B61" s="192">
        <v>1984</v>
      </c>
      <c r="C61" s="194">
        <v>7.0000000000000007E-2</v>
      </c>
      <c r="L61" s="192">
        <f t="shared" si="2"/>
        <v>2007</v>
      </c>
      <c r="M61" s="193">
        <v>46.1</v>
      </c>
      <c r="AK61" s="590"/>
    </row>
    <row r="62" spans="2:38" ht="15" thickBot="1" x14ac:dyDescent="0.35">
      <c r="B62" s="192">
        <v>1985</v>
      </c>
      <c r="C62" s="194">
        <v>7.0000000000000007E-2</v>
      </c>
      <c r="L62" s="192">
        <f t="shared" si="2"/>
        <v>2008</v>
      </c>
      <c r="M62" s="193">
        <v>33.799999999999997</v>
      </c>
      <c r="AK62" s="591"/>
    </row>
    <row r="63" spans="2:38" ht="15" thickTop="1" x14ac:dyDescent="0.3">
      <c r="B63" s="192">
        <v>1986</v>
      </c>
      <c r="C63" s="194">
        <v>7.0000000000000007E-2</v>
      </c>
      <c r="L63" s="192">
        <f t="shared" si="2"/>
        <v>2009</v>
      </c>
      <c r="M63" s="193">
        <v>37.200000000000003</v>
      </c>
    </row>
    <row r="64" spans="2:38" x14ac:dyDescent="0.3">
      <c r="B64" s="192">
        <v>1987</v>
      </c>
      <c r="C64" s="194">
        <v>7.0000000000000007E-2</v>
      </c>
      <c r="L64" s="192">
        <f t="shared" si="2"/>
        <v>2010</v>
      </c>
      <c r="M64" s="193">
        <v>41.3</v>
      </c>
    </row>
    <row r="65" spans="2:13" x14ac:dyDescent="0.3">
      <c r="B65" s="192">
        <v>1988</v>
      </c>
      <c r="C65" s="194">
        <v>7.0000000000000007E-2</v>
      </c>
      <c r="L65" s="192">
        <f t="shared" si="2"/>
        <v>2011</v>
      </c>
      <c r="M65" s="193">
        <v>42</v>
      </c>
    </row>
    <row r="66" spans="2:13" x14ac:dyDescent="0.3">
      <c r="B66" s="192">
        <v>1989</v>
      </c>
      <c r="C66" s="194">
        <v>7.0000000000000007E-2</v>
      </c>
      <c r="L66" s="192">
        <f t="shared" si="2"/>
        <v>2012</v>
      </c>
      <c r="M66" s="193">
        <v>45.1</v>
      </c>
    </row>
    <row r="67" spans="2:13" x14ac:dyDescent="0.3">
      <c r="B67" s="192">
        <v>1990</v>
      </c>
      <c r="C67" s="194">
        <v>7.0000000000000007E-2</v>
      </c>
      <c r="L67" s="192">
        <f t="shared" si="2"/>
        <v>2013</v>
      </c>
      <c r="M67" s="193">
        <v>50.4</v>
      </c>
    </row>
    <row r="68" spans="2:13" x14ac:dyDescent="0.3">
      <c r="B68" s="192">
        <v>1991</v>
      </c>
      <c r="C68" s="194">
        <v>7.0000000000000007E-2</v>
      </c>
      <c r="L68" s="192">
        <f t="shared" si="2"/>
        <v>2014</v>
      </c>
      <c r="M68" s="193">
        <v>55.7</v>
      </c>
    </row>
    <row r="69" spans="2:13" x14ac:dyDescent="0.3">
      <c r="B69" s="192">
        <v>1992</v>
      </c>
      <c r="C69" s="194">
        <v>7.0000000000000007E-2</v>
      </c>
      <c r="L69" s="192">
        <f t="shared" si="2"/>
        <v>2015</v>
      </c>
      <c r="M69" s="193">
        <v>59.9</v>
      </c>
    </row>
    <row r="70" spans="2:13" x14ac:dyDescent="0.3">
      <c r="B70" s="192">
        <v>1993</v>
      </c>
      <c r="C70" s="194">
        <v>7.6799999999999993E-2</v>
      </c>
      <c r="L70" s="192">
        <f t="shared" si="2"/>
        <v>2016</v>
      </c>
      <c r="M70" s="193">
        <v>63.6</v>
      </c>
    </row>
    <row r="71" spans="2:13" x14ac:dyDescent="0.3">
      <c r="B71" s="192">
        <v>1994</v>
      </c>
      <c r="C71" s="194">
        <v>7.6799999999999993E-2</v>
      </c>
      <c r="L71" s="192">
        <f t="shared" si="2"/>
        <v>2017</v>
      </c>
      <c r="M71" s="193">
        <v>68.5</v>
      </c>
    </row>
    <row r="72" spans="2:13" x14ac:dyDescent="0.3">
      <c r="B72" s="192">
        <v>1995</v>
      </c>
      <c r="C72" s="194">
        <v>7.6799999999999993E-2</v>
      </c>
      <c r="L72" s="192">
        <f t="shared" si="2"/>
        <v>2018</v>
      </c>
      <c r="M72" s="193">
        <v>70.400000000000006</v>
      </c>
    </row>
    <row r="73" spans="2:13" x14ac:dyDescent="0.3">
      <c r="B73" s="192">
        <v>1996</v>
      </c>
      <c r="C73" s="194">
        <v>7.9500000000000001E-2</v>
      </c>
      <c r="L73" s="407">
        <v>2019</v>
      </c>
      <c r="M73" s="408">
        <v>76.8</v>
      </c>
    </row>
    <row r="74" spans="2:13" x14ac:dyDescent="0.3">
      <c r="B74" s="192">
        <v>1997</v>
      </c>
      <c r="C74" s="194">
        <v>7.9500000000000001E-2</v>
      </c>
      <c r="L74" s="407">
        <v>2020</v>
      </c>
      <c r="M74" s="408">
        <v>82.05</v>
      </c>
    </row>
    <row r="75" spans="2:13" ht="15" thickBot="1" x14ac:dyDescent="0.35">
      <c r="B75" s="192">
        <v>1998</v>
      </c>
      <c r="C75" s="194">
        <v>7.9500000000000001E-2</v>
      </c>
      <c r="L75" s="195">
        <v>2021</v>
      </c>
      <c r="M75" s="196">
        <v>91.5</v>
      </c>
    </row>
    <row r="76" spans="2:13" ht="15" thickTop="1" x14ac:dyDescent="0.3">
      <c r="B76" s="192">
        <v>1999</v>
      </c>
      <c r="C76" s="194">
        <v>7.9500000000000001E-2</v>
      </c>
    </row>
    <row r="77" spans="2:13" x14ac:dyDescent="0.3">
      <c r="B77" s="192">
        <v>2000</v>
      </c>
      <c r="C77" s="194">
        <v>5.3499999999999999E-2</v>
      </c>
    </row>
    <row r="78" spans="2:13" x14ac:dyDescent="0.3">
      <c r="B78" s="192">
        <v>2001</v>
      </c>
      <c r="C78" s="194">
        <v>5.3499999999999999E-2</v>
      </c>
    </row>
    <row r="79" spans="2:13" x14ac:dyDescent="0.3">
      <c r="B79" s="192">
        <v>2002</v>
      </c>
      <c r="C79" s="194">
        <v>5.3499999999999999E-2</v>
      </c>
    </row>
    <row r="80" spans="2:13" x14ac:dyDescent="0.3">
      <c r="B80" s="192">
        <v>2003</v>
      </c>
      <c r="C80" s="194">
        <v>5.3499999999999999E-2</v>
      </c>
    </row>
    <row r="81" spans="2:26" x14ac:dyDescent="0.3">
      <c r="B81" s="192">
        <v>2004</v>
      </c>
      <c r="C81" s="194">
        <v>5.3499999999999999E-2</v>
      </c>
    </row>
    <row r="82" spans="2:26" x14ac:dyDescent="0.3">
      <c r="B82" s="192">
        <v>2005</v>
      </c>
      <c r="C82" s="194">
        <v>7.0599999999999996E-2</v>
      </c>
    </row>
    <row r="83" spans="2:26" x14ac:dyDescent="0.3">
      <c r="B83" s="192">
        <v>2006</v>
      </c>
      <c r="C83" s="194">
        <v>7.0599999999999996E-2</v>
      </c>
      <c r="N83" t="s">
        <v>192</v>
      </c>
    </row>
    <row r="84" spans="2:26" ht="15" thickBot="1" x14ac:dyDescent="0.35">
      <c r="B84" s="192">
        <v>2007</v>
      </c>
      <c r="C84" s="194">
        <v>7.0599999999999996E-2</v>
      </c>
    </row>
    <row r="85" spans="2:26" ht="15.6" thickTop="1" thickBot="1" x14ac:dyDescent="0.35">
      <c r="B85" s="192">
        <v>2008</v>
      </c>
      <c r="C85" s="194">
        <v>8.1900000000000001E-2</v>
      </c>
      <c r="N85" s="238"/>
      <c r="O85" s="239" t="s">
        <v>149</v>
      </c>
      <c r="P85" s="238"/>
      <c r="Q85" s="240"/>
      <c r="R85" s="241" t="s">
        <v>149</v>
      </c>
      <c r="S85" s="242" t="s">
        <v>150</v>
      </c>
      <c r="T85" s="238"/>
      <c r="W85" s="243" t="s">
        <v>150</v>
      </c>
      <c r="X85" s="244" t="s">
        <v>151</v>
      </c>
      <c r="Z85" s="3" t="s">
        <v>211</v>
      </c>
    </row>
    <row r="86" spans="2:26" ht="16.8" thickTop="1" thickBot="1" x14ac:dyDescent="0.35">
      <c r="B86" s="192">
        <v>2009</v>
      </c>
      <c r="C86" s="194">
        <v>8.1900000000000001E-2</v>
      </c>
      <c r="N86" s="245">
        <v>29952.75</v>
      </c>
      <c r="O86" s="246" t="s">
        <v>152</v>
      </c>
      <c r="P86" s="238"/>
      <c r="Q86" s="247">
        <v>36526.75</v>
      </c>
      <c r="R86" s="248" t="s">
        <v>153</v>
      </c>
      <c r="S86" s="249" t="s">
        <v>154</v>
      </c>
      <c r="T86" s="238"/>
      <c r="U86" s="240"/>
      <c r="V86" s="241" t="s">
        <v>149</v>
      </c>
      <c r="W86" s="270">
        <f>V87-3%</f>
        <v>3.5000000000000003E-2</v>
      </c>
      <c r="X86" s="271">
        <f>MAX(V87/2,V87-3%)</f>
        <v>3.5000000000000003E-2</v>
      </c>
    </row>
    <row r="87" spans="2:26" ht="16.2" thickTop="1" x14ac:dyDescent="0.3">
      <c r="B87" s="192">
        <v>2010</v>
      </c>
      <c r="C87" s="194">
        <v>8.1900000000000001E-2</v>
      </c>
      <c r="N87" s="247">
        <v>29587.75</v>
      </c>
      <c r="O87" s="251" t="s">
        <v>157</v>
      </c>
      <c r="P87" s="238"/>
      <c r="Q87" s="247">
        <v>36161.75</v>
      </c>
      <c r="R87" s="252" t="s">
        <v>158</v>
      </c>
      <c r="S87" s="253" t="s">
        <v>154</v>
      </c>
      <c r="T87" s="238"/>
      <c r="U87" s="250">
        <v>44927</v>
      </c>
      <c r="V87" s="269">
        <v>6.5000000000000002E-2</v>
      </c>
      <c r="W87" s="267" t="s">
        <v>154</v>
      </c>
      <c r="X87" s="355">
        <v>1.35E-2</v>
      </c>
    </row>
    <row r="88" spans="2:26" ht="15.6" x14ac:dyDescent="0.3">
      <c r="B88" s="192">
        <v>2011</v>
      </c>
      <c r="C88" s="194">
        <v>8.6899999999999991E-2</v>
      </c>
      <c r="N88" s="247">
        <v>29221.75</v>
      </c>
      <c r="O88" s="251" t="s">
        <v>159</v>
      </c>
      <c r="P88" s="238"/>
      <c r="Q88" s="247">
        <v>35796.75</v>
      </c>
      <c r="R88" s="252" t="s">
        <v>160</v>
      </c>
      <c r="S88" s="253" t="s">
        <v>154</v>
      </c>
      <c r="T88" s="238"/>
      <c r="U88" s="250">
        <v>44562</v>
      </c>
      <c r="V88" s="354">
        <v>2.7E-2</v>
      </c>
      <c r="W88" s="267" t="s">
        <v>154</v>
      </c>
      <c r="X88" s="355">
        <v>6.3E-3</v>
      </c>
    </row>
    <row r="89" spans="2:26" ht="15.6" x14ac:dyDescent="0.3">
      <c r="B89" s="192">
        <v>2012</v>
      </c>
      <c r="C89" s="194">
        <v>8.9399999999999993E-2</v>
      </c>
      <c r="N89" s="247">
        <v>28856.75</v>
      </c>
      <c r="O89" s="251" t="s">
        <v>159</v>
      </c>
      <c r="P89" s="238"/>
      <c r="Q89" s="247">
        <v>35431.75</v>
      </c>
      <c r="R89" s="252" t="s">
        <v>161</v>
      </c>
      <c r="S89" s="253" t="s">
        <v>154</v>
      </c>
      <c r="T89" s="238"/>
      <c r="U89" s="250">
        <v>44197</v>
      </c>
      <c r="V89" s="354">
        <v>1.26E-2</v>
      </c>
      <c r="W89" s="267" t="s">
        <v>154</v>
      </c>
      <c r="X89" s="268" t="s">
        <v>156</v>
      </c>
    </row>
    <row r="90" spans="2:26" ht="15.6" x14ac:dyDescent="0.3">
      <c r="B90" s="192">
        <v>2013</v>
      </c>
      <c r="C90" s="194">
        <v>9.1799999999999993E-2</v>
      </c>
      <c r="N90" s="247">
        <v>28491.75</v>
      </c>
      <c r="O90" s="251" t="s">
        <v>162</v>
      </c>
      <c r="P90" s="238"/>
      <c r="Q90" s="247">
        <v>35065.75</v>
      </c>
      <c r="R90" s="252" t="s">
        <v>163</v>
      </c>
      <c r="S90" s="253" t="s">
        <v>154</v>
      </c>
      <c r="T90" s="238"/>
      <c r="U90" s="250">
        <v>43831</v>
      </c>
      <c r="V90" s="266" t="s">
        <v>155</v>
      </c>
      <c r="W90" s="255" t="s">
        <v>154</v>
      </c>
      <c r="X90" s="256">
        <v>1.15E-2</v>
      </c>
    </row>
    <row r="91" spans="2:26" ht="15.6" x14ac:dyDescent="0.3">
      <c r="B91" s="192">
        <v>2014</v>
      </c>
      <c r="C91" s="194">
        <v>9.8400000000000001E-2</v>
      </c>
      <c r="N91" s="247">
        <v>28126.75</v>
      </c>
      <c r="O91" s="251" t="s">
        <v>164</v>
      </c>
      <c r="P91" s="238"/>
      <c r="Q91" s="247">
        <v>34700.75</v>
      </c>
      <c r="R91" s="252" t="s">
        <v>154</v>
      </c>
      <c r="S91" s="253" t="s">
        <v>154</v>
      </c>
      <c r="T91" s="238"/>
      <c r="U91" s="247">
        <v>43466.25</v>
      </c>
      <c r="V91" s="254">
        <v>2.3E-2</v>
      </c>
      <c r="W91" s="267" t="s">
        <v>154</v>
      </c>
      <c r="X91" s="256">
        <v>7.4999999999999997E-3</v>
      </c>
    </row>
    <row r="92" spans="2:26" ht="15.6" x14ac:dyDescent="0.3">
      <c r="B92" s="192">
        <v>2015</v>
      </c>
      <c r="C92" s="194">
        <v>0.105</v>
      </c>
      <c r="N92" s="247">
        <v>27760.75</v>
      </c>
      <c r="O92" s="251" t="s">
        <v>165</v>
      </c>
      <c r="P92" s="238"/>
      <c r="Q92" s="247">
        <v>34335.75</v>
      </c>
      <c r="R92" s="252" t="s">
        <v>160</v>
      </c>
      <c r="S92" s="253" t="s">
        <v>154</v>
      </c>
      <c r="T92" s="238"/>
      <c r="U92" s="247">
        <v>43101.5</v>
      </c>
      <c r="V92" s="254">
        <v>1.4999999999999999E-2</v>
      </c>
      <c r="W92" s="267" t="s">
        <v>154</v>
      </c>
      <c r="X92" s="256">
        <v>7.0000000000000001E-3</v>
      </c>
    </row>
    <row r="93" spans="2:26" ht="15.6" x14ac:dyDescent="0.3">
      <c r="B93" s="192">
        <v>2016</v>
      </c>
      <c r="C93" s="194">
        <v>0.11119999999999999</v>
      </c>
      <c r="N93" s="247">
        <v>27395.75</v>
      </c>
      <c r="O93" s="251" t="s">
        <v>166</v>
      </c>
      <c r="P93" s="238"/>
      <c r="Q93" s="247">
        <v>33970.75</v>
      </c>
      <c r="R93" s="252" t="s">
        <v>167</v>
      </c>
      <c r="S93" s="253" t="s">
        <v>154</v>
      </c>
      <c r="T93" s="238"/>
      <c r="U93" s="247">
        <v>42736.75</v>
      </c>
      <c r="V93" s="254">
        <v>1.4E-2</v>
      </c>
      <c r="W93" s="267" t="s">
        <v>154</v>
      </c>
      <c r="X93" s="256">
        <v>6.0000000000000001E-3</v>
      </c>
    </row>
    <row r="94" spans="2:26" ht="16.2" thickBot="1" x14ac:dyDescent="0.35">
      <c r="B94" s="192">
        <v>2017</v>
      </c>
      <c r="C94" s="194">
        <v>0.1105</v>
      </c>
      <c r="N94" s="257">
        <v>27030.75</v>
      </c>
      <c r="O94" s="258" t="s">
        <v>164</v>
      </c>
      <c r="P94" s="238"/>
      <c r="Q94" s="247">
        <v>33604.75</v>
      </c>
      <c r="R94" s="252" t="s">
        <v>168</v>
      </c>
      <c r="S94" s="253" t="s">
        <v>169</v>
      </c>
      <c r="T94" s="238"/>
      <c r="U94" s="247">
        <v>42370</v>
      </c>
      <c r="V94" s="254">
        <v>1.2E-2</v>
      </c>
      <c r="W94" s="267" t="s">
        <v>154</v>
      </c>
      <c r="X94" s="256">
        <v>8.9999999999999993E-3</v>
      </c>
    </row>
    <row r="95" spans="2:26" ht="16.2" thickTop="1" x14ac:dyDescent="0.3">
      <c r="B95" s="192">
        <v>2018</v>
      </c>
      <c r="C95" s="194">
        <v>0.10970000000000001</v>
      </c>
      <c r="N95" s="238"/>
      <c r="O95" s="238"/>
      <c r="P95" s="238"/>
      <c r="Q95" s="247">
        <v>33239.75</v>
      </c>
      <c r="R95" s="252" t="s">
        <v>170</v>
      </c>
      <c r="S95" s="253" t="s">
        <v>167</v>
      </c>
      <c r="T95" s="238"/>
      <c r="U95" s="247">
        <v>42005.25</v>
      </c>
      <c r="V95" s="254">
        <v>1.7999999999999999E-2</v>
      </c>
      <c r="W95" s="267" t="s">
        <v>154</v>
      </c>
      <c r="X95" s="256">
        <v>4.4999999999999997E-3</v>
      </c>
    </row>
    <row r="96" spans="2:26" ht="15.6" x14ac:dyDescent="0.3">
      <c r="B96" s="192">
        <v>2019</v>
      </c>
      <c r="C96" s="194">
        <v>0.10879999999999999</v>
      </c>
      <c r="N96" s="238"/>
      <c r="O96" s="238"/>
      <c r="P96" s="238"/>
      <c r="Q96" s="247">
        <v>32874.75</v>
      </c>
      <c r="R96" s="252" t="s">
        <v>170</v>
      </c>
      <c r="S96" s="253" t="s">
        <v>167</v>
      </c>
      <c r="T96" s="238"/>
      <c r="U96" s="247">
        <v>41640.5</v>
      </c>
      <c r="V96" s="254">
        <v>8.9999999999999993E-3</v>
      </c>
      <c r="W96" s="267" t="s">
        <v>154</v>
      </c>
      <c r="X96" s="256">
        <v>8.9999999999999993E-3</v>
      </c>
    </row>
    <row r="97" spans="2:24" ht="15.6" x14ac:dyDescent="0.3">
      <c r="B97" s="192">
        <v>2020</v>
      </c>
      <c r="C97" s="194">
        <v>0.10630000000000001</v>
      </c>
      <c r="N97" s="238"/>
      <c r="O97" s="238"/>
      <c r="P97" s="238"/>
      <c r="Q97" s="247">
        <v>32509.75</v>
      </c>
      <c r="R97" s="252" t="s">
        <v>175</v>
      </c>
      <c r="S97" s="253" t="s">
        <v>176</v>
      </c>
      <c r="T97" s="238"/>
      <c r="U97" s="247">
        <v>41275.5</v>
      </c>
      <c r="V97" s="254">
        <v>1.7999999999999999E-2</v>
      </c>
      <c r="W97" s="267" t="s">
        <v>154</v>
      </c>
      <c r="X97" s="256">
        <v>1.4E-2</v>
      </c>
    </row>
    <row r="98" spans="2:24" ht="15.6" x14ac:dyDescent="0.3">
      <c r="B98" s="192">
        <v>2021</v>
      </c>
      <c r="C98" s="194">
        <v>0.1033</v>
      </c>
      <c r="N98" s="238"/>
      <c r="O98" s="238"/>
      <c r="P98" s="238"/>
      <c r="Q98" s="247">
        <v>32143.75</v>
      </c>
      <c r="R98" s="252" t="s">
        <v>179</v>
      </c>
      <c r="S98" s="253" t="s">
        <v>180</v>
      </c>
      <c r="T98" s="238"/>
      <c r="U98" s="247">
        <v>40909.5</v>
      </c>
      <c r="V98" s="252" t="s">
        <v>169</v>
      </c>
      <c r="W98" s="267" t="s">
        <v>154</v>
      </c>
      <c r="X98" s="253" t="s">
        <v>172</v>
      </c>
    </row>
    <row r="99" spans="2:24" ht="15.6" x14ac:dyDescent="0.3">
      <c r="B99" s="192">
        <v>2022</v>
      </c>
      <c r="C99" s="194">
        <v>0.10039999999999999</v>
      </c>
      <c r="N99" s="238"/>
      <c r="O99" s="238"/>
      <c r="P99" s="238"/>
      <c r="Q99" s="247">
        <v>31778.75</v>
      </c>
      <c r="R99" s="252" t="s">
        <v>175</v>
      </c>
      <c r="S99" s="253" t="s">
        <v>176</v>
      </c>
      <c r="T99" s="238"/>
      <c r="U99" s="247">
        <v>40544.75</v>
      </c>
      <c r="V99" s="252" t="s">
        <v>171</v>
      </c>
      <c r="W99" s="255" t="s">
        <v>154</v>
      </c>
      <c r="X99" s="253" t="s">
        <v>174</v>
      </c>
    </row>
    <row r="100" spans="2:24" ht="15.6" x14ac:dyDescent="0.3">
      <c r="B100" s="192">
        <v>2023</v>
      </c>
      <c r="C100" s="194">
        <v>9.69E-2</v>
      </c>
      <c r="N100" s="238"/>
      <c r="O100" s="238"/>
      <c r="P100" s="238"/>
      <c r="Q100" s="247">
        <v>31413.75</v>
      </c>
      <c r="R100" s="252" t="s">
        <v>185</v>
      </c>
      <c r="S100" s="253" t="s">
        <v>182</v>
      </c>
      <c r="T100" s="238"/>
      <c r="U100" s="247">
        <v>40179.75</v>
      </c>
      <c r="V100" s="252" t="s">
        <v>173</v>
      </c>
      <c r="W100" s="255" t="s">
        <v>154</v>
      </c>
      <c r="X100" s="253" t="s">
        <v>178</v>
      </c>
    </row>
    <row r="101" spans="2:24" ht="15.6" x14ac:dyDescent="0.3">
      <c r="B101" s="192">
        <v>2024</v>
      </c>
      <c r="C101" s="194">
        <v>9.3899999999999997E-2</v>
      </c>
      <c r="N101" s="238"/>
      <c r="O101" s="238"/>
      <c r="P101" s="238"/>
      <c r="Q101" s="247">
        <v>31048.75</v>
      </c>
      <c r="R101" s="252" t="s">
        <v>179</v>
      </c>
      <c r="S101" s="253" t="s">
        <v>180</v>
      </c>
      <c r="T101" s="238"/>
      <c r="U101" s="247">
        <v>39814.75</v>
      </c>
      <c r="V101" s="252" t="s">
        <v>177</v>
      </c>
      <c r="W101" s="255" t="s">
        <v>154</v>
      </c>
      <c r="X101" s="253" t="s">
        <v>182</v>
      </c>
    </row>
    <row r="102" spans="2:24" ht="16.2" thickBot="1" x14ac:dyDescent="0.35">
      <c r="B102" s="195">
        <v>2025</v>
      </c>
      <c r="C102" s="197">
        <v>9.0899999999999995E-2</v>
      </c>
      <c r="N102" s="238"/>
      <c r="O102" s="238"/>
      <c r="P102" s="238"/>
      <c r="Q102" s="247">
        <v>30682.75</v>
      </c>
      <c r="R102" s="252" t="s">
        <v>187</v>
      </c>
      <c r="S102" s="253" t="s">
        <v>188</v>
      </c>
      <c r="T102" s="238"/>
      <c r="U102" s="247">
        <v>39448.75</v>
      </c>
      <c r="V102" s="252" t="s">
        <v>181</v>
      </c>
      <c r="W102" s="255" t="s">
        <v>154</v>
      </c>
      <c r="X102" s="253" t="s">
        <v>184</v>
      </c>
    </row>
    <row r="103" spans="2:24" ht="16.8" thickTop="1" thickBot="1" x14ac:dyDescent="0.35">
      <c r="N103" s="238"/>
      <c r="O103" s="238"/>
      <c r="P103" s="238"/>
      <c r="Q103" s="257">
        <v>30317.75</v>
      </c>
      <c r="R103" s="259" t="s">
        <v>165</v>
      </c>
      <c r="S103" s="260" t="s">
        <v>164</v>
      </c>
      <c r="T103" s="238"/>
      <c r="U103" s="247">
        <v>39083.75</v>
      </c>
      <c r="V103" s="252" t="s">
        <v>183</v>
      </c>
      <c r="W103" s="255" t="s">
        <v>154</v>
      </c>
      <c r="X103" s="253" t="s">
        <v>186</v>
      </c>
    </row>
    <row r="104" spans="2:24" ht="16.8" thickTop="1" thickBot="1" x14ac:dyDescent="0.35">
      <c r="B104" t="s">
        <v>116</v>
      </c>
      <c r="N104" s="238"/>
      <c r="O104" s="238"/>
      <c r="P104" s="238"/>
      <c r="Q104" s="238"/>
      <c r="R104" s="238"/>
      <c r="S104" s="238"/>
      <c r="T104" s="238"/>
      <c r="U104" s="247">
        <v>38718.75</v>
      </c>
      <c r="V104" s="252" t="s">
        <v>163</v>
      </c>
      <c r="W104" s="255" t="s">
        <v>154</v>
      </c>
      <c r="X104" s="253" t="s">
        <v>172</v>
      </c>
    </row>
    <row r="105" spans="2:24" ht="16.8" thickTop="1" thickBot="1" x14ac:dyDescent="0.35">
      <c r="B105" s="186" t="s">
        <v>31</v>
      </c>
      <c r="C105" s="187" t="s">
        <v>114</v>
      </c>
      <c r="N105" s="238"/>
      <c r="O105" s="238"/>
      <c r="P105" s="238"/>
      <c r="Q105" s="238"/>
      <c r="R105" s="238"/>
      <c r="S105" s="238"/>
      <c r="T105" s="238"/>
      <c r="U105" s="247">
        <v>38353.75</v>
      </c>
      <c r="V105" s="252" t="s">
        <v>171</v>
      </c>
      <c r="W105" s="255" t="s">
        <v>174</v>
      </c>
      <c r="X105" s="253" t="s">
        <v>153</v>
      </c>
    </row>
    <row r="106" spans="2:24" ht="16.2" thickTop="1" x14ac:dyDescent="0.3">
      <c r="B106" s="190">
        <v>1997</v>
      </c>
      <c r="C106" s="191">
        <v>6.3500000000000001E-2</v>
      </c>
      <c r="U106" s="247">
        <v>37987.75</v>
      </c>
      <c r="V106" s="252" t="s">
        <v>189</v>
      </c>
      <c r="W106" s="255" t="s">
        <v>154</v>
      </c>
      <c r="X106" s="253" t="s">
        <v>190</v>
      </c>
    </row>
    <row r="107" spans="2:24" ht="15.6" x14ac:dyDescent="0.3">
      <c r="B107" s="192">
        <v>1998</v>
      </c>
      <c r="C107" s="194">
        <v>6.3500000000000001E-2</v>
      </c>
      <c r="U107" s="247">
        <v>37622.75</v>
      </c>
      <c r="V107" s="252" t="s">
        <v>153</v>
      </c>
      <c r="W107" s="255" t="s">
        <v>154</v>
      </c>
      <c r="X107" s="253" t="s">
        <v>161</v>
      </c>
    </row>
    <row r="108" spans="2:24" ht="16.2" thickBot="1" x14ac:dyDescent="0.35">
      <c r="B108" s="192">
        <v>1999</v>
      </c>
      <c r="C108" s="194">
        <v>6.3500000000000001E-2</v>
      </c>
      <c r="U108" s="247">
        <v>37257.75</v>
      </c>
      <c r="V108" s="252" t="s">
        <v>191</v>
      </c>
      <c r="W108" s="261" t="s">
        <v>154</v>
      </c>
      <c r="X108" s="260" t="s">
        <v>178</v>
      </c>
    </row>
    <row r="109" spans="2:24" ht="16.8" thickTop="1" thickBot="1" x14ac:dyDescent="0.35">
      <c r="B109" s="192">
        <v>2000</v>
      </c>
      <c r="C109" s="194">
        <v>0.01</v>
      </c>
      <c r="U109" s="257">
        <v>36892.75</v>
      </c>
      <c r="V109" s="259" t="s">
        <v>177</v>
      </c>
    </row>
    <row r="110" spans="2:24" ht="15" thickTop="1" x14ac:dyDescent="0.3">
      <c r="B110" s="192">
        <v>2001</v>
      </c>
      <c r="C110" s="194">
        <v>0.01</v>
      </c>
    </row>
    <row r="111" spans="2:24" x14ac:dyDescent="0.3">
      <c r="B111" s="192">
        <v>2002</v>
      </c>
      <c r="C111" s="194">
        <v>4.4999999999999998E-2</v>
      </c>
      <c r="N111" t="s">
        <v>192</v>
      </c>
    </row>
    <row r="112" spans="2:24" ht="15" thickBot="1" x14ac:dyDescent="0.35">
      <c r="B112" s="192">
        <v>2003</v>
      </c>
      <c r="C112" s="194">
        <v>4.4999999999999998E-2</v>
      </c>
    </row>
    <row r="113" spans="2:17" ht="15.6" thickTop="1" thickBot="1" x14ac:dyDescent="0.35">
      <c r="B113" s="192">
        <v>2004</v>
      </c>
      <c r="C113" s="194">
        <v>4.4999999999999998E-2</v>
      </c>
      <c r="N113" s="240"/>
      <c r="O113" s="241" t="s">
        <v>149</v>
      </c>
      <c r="P113" s="243" t="s">
        <v>150</v>
      </c>
      <c r="Q113" s="244" t="s">
        <v>151</v>
      </c>
    </row>
    <row r="114" spans="2:17" ht="16.2" thickTop="1" x14ac:dyDescent="0.3">
      <c r="B114" s="192">
        <v>2005</v>
      </c>
      <c r="C114" s="194">
        <v>7.7800000000000008E-2</v>
      </c>
      <c r="N114" s="250">
        <v>44927</v>
      </c>
      <c r="O114" s="269">
        <v>6.5000000000000002E-2</v>
      </c>
      <c r="P114" s="270">
        <v>3.5000000000000003E-2</v>
      </c>
      <c r="Q114" s="271">
        <v>3.5000000000000003E-2</v>
      </c>
    </row>
    <row r="115" spans="2:17" ht="15.6" x14ac:dyDescent="0.3">
      <c r="B115" s="192">
        <v>2006</v>
      </c>
      <c r="C115" s="194">
        <v>7.7800000000000008E-2</v>
      </c>
      <c r="N115" s="250">
        <v>44562</v>
      </c>
      <c r="O115" s="354">
        <v>2.7E-2</v>
      </c>
      <c r="P115" s="410" t="s">
        <v>154</v>
      </c>
      <c r="Q115" s="355">
        <v>1.35E-2</v>
      </c>
    </row>
    <row r="116" spans="2:17" ht="15.6" x14ac:dyDescent="0.3">
      <c r="B116" s="192">
        <v>2007</v>
      </c>
      <c r="C116" s="194">
        <v>7.7800000000000008E-2</v>
      </c>
      <c r="N116" s="250">
        <v>44197</v>
      </c>
      <c r="O116" s="354">
        <v>1.26E-2</v>
      </c>
      <c r="P116" s="410" t="s">
        <v>154</v>
      </c>
      <c r="Q116" s="355">
        <v>6.3E-3</v>
      </c>
    </row>
    <row r="117" spans="2:17" ht="15.6" x14ac:dyDescent="0.3">
      <c r="B117" s="192">
        <v>2008</v>
      </c>
      <c r="C117" s="194">
        <v>0.10539999999999999</v>
      </c>
      <c r="N117" s="250">
        <v>43831</v>
      </c>
      <c r="O117" s="266" t="s">
        <v>155</v>
      </c>
      <c r="P117" s="267" t="s">
        <v>154</v>
      </c>
      <c r="Q117" s="268" t="s">
        <v>156</v>
      </c>
    </row>
    <row r="118" spans="2:17" ht="15.6" x14ac:dyDescent="0.3">
      <c r="B118" s="192">
        <v>2009</v>
      </c>
      <c r="C118" s="194">
        <v>0.10539999999999999</v>
      </c>
      <c r="N118" s="247">
        <f>N117-364.75</f>
        <v>43466.25</v>
      </c>
      <c r="O118" s="254">
        <v>2.3E-2</v>
      </c>
      <c r="P118" s="255" t="s">
        <v>154</v>
      </c>
      <c r="Q118" s="256">
        <v>1.15E-2</v>
      </c>
    </row>
    <row r="119" spans="2:17" ht="15.6" x14ac:dyDescent="0.3">
      <c r="B119" s="192">
        <v>2010</v>
      </c>
      <c r="C119" s="194">
        <v>0.10539999999999999</v>
      </c>
      <c r="N119" s="247">
        <f t="shared" ref="N119:N126" si="3">N118-364.75</f>
        <v>43101.5</v>
      </c>
      <c r="O119" s="254">
        <v>1.4999999999999999E-2</v>
      </c>
      <c r="P119" s="255" t="s">
        <v>154</v>
      </c>
      <c r="Q119" s="256">
        <v>7.4999999999999997E-3</v>
      </c>
    </row>
    <row r="120" spans="2:17" ht="15.6" x14ac:dyDescent="0.3">
      <c r="B120" s="192">
        <v>2011</v>
      </c>
      <c r="C120" s="194">
        <v>0.11539999999999999</v>
      </c>
      <c r="N120" s="247">
        <f t="shared" si="3"/>
        <v>42736.75</v>
      </c>
      <c r="O120" s="254">
        <v>1.4E-2</v>
      </c>
      <c r="P120" s="255" t="s">
        <v>154</v>
      </c>
      <c r="Q120" s="256">
        <v>7.0000000000000001E-3</v>
      </c>
    </row>
    <row r="121" spans="2:17" ht="15.6" x14ac:dyDescent="0.3">
      <c r="B121" s="192">
        <v>2012</v>
      </c>
      <c r="C121" s="194">
        <v>0.12300000000000001</v>
      </c>
      <c r="N121" s="247">
        <v>42370</v>
      </c>
      <c r="O121" s="254">
        <v>1.2E-2</v>
      </c>
      <c r="P121" s="255" t="s">
        <v>154</v>
      </c>
      <c r="Q121" s="256">
        <v>6.0000000000000001E-3</v>
      </c>
    </row>
    <row r="122" spans="2:17" ht="15.6" x14ac:dyDescent="0.3">
      <c r="B122" s="192">
        <v>2013</v>
      </c>
      <c r="C122" s="194">
        <v>0.12300000000000001</v>
      </c>
      <c r="N122" s="247">
        <f t="shared" si="3"/>
        <v>42005.25</v>
      </c>
      <c r="O122" s="254">
        <v>1.7999999999999999E-2</v>
      </c>
      <c r="P122" s="255" t="s">
        <v>154</v>
      </c>
      <c r="Q122" s="256">
        <v>8.9999999999999993E-3</v>
      </c>
    </row>
    <row r="123" spans="2:17" ht="15.6" x14ac:dyDescent="0.3">
      <c r="B123" s="192">
        <v>2014</v>
      </c>
      <c r="C123" s="194">
        <v>0.14380000000000001</v>
      </c>
      <c r="N123" s="247">
        <f t="shared" si="3"/>
        <v>41640.5</v>
      </c>
      <c r="O123" s="254">
        <v>8.9999999999999993E-3</v>
      </c>
      <c r="P123" s="255" t="s">
        <v>154</v>
      </c>
      <c r="Q123" s="256">
        <v>4.4999999999999997E-3</v>
      </c>
    </row>
    <row r="124" spans="2:17" ht="15.6" x14ac:dyDescent="0.3">
      <c r="B124" s="192">
        <v>2015</v>
      </c>
      <c r="C124" s="194">
        <v>0.14380000000000001</v>
      </c>
      <c r="N124" s="247">
        <f>N123-365</f>
        <v>41275.5</v>
      </c>
      <c r="O124" s="254">
        <v>1.7999999999999999E-2</v>
      </c>
      <c r="P124" s="255" t="s">
        <v>154</v>
      </c>
      <c r="Q124" s="256">
        <v>8.9999999999999993E-3</v>
      </c>
    </row>
    <row r="125" spans="2:17" ht="15.6" x14ac:dyDescent="0.3">
      <c r="B125" s="192">
        <v>2016</v>
      </c>
      <c r="C125" s="194">
        <v>0.14380000000000001</v>
      </c>
      <c r="N125" s="247">
        <f>N124-366</f>
        <v>40909.5</v>
      </c>
      <c r="O125" s="252" t="s">
        <v>169</v>
      </c>
      <c r="P125" s="255" t="s">
        <v>154</v>
      </c>
      <c r="Q125" s="256">
        <v>1.4E-2</v>
      </c>
    </row>
    <row r="126" spans="2:17" ht="15.6" x14ac:dyDescent="0.3">
      <c r="B126" s="192">
        <v>2017</v>
      </c>
      <c r="C126" s="194">
        <v>0.15029999999999999</v>
      </c>
      <c r="N126" s="247">
        <f t="shared" si="3"/>
        <v>40544.75</v>
      </c>
      <c r="O126" s="252" t="s">
        <v>171</v>
      </c>
      <c r="P126" s="255" t="s">
        <v>154</v>
      </c>
      <c r="Q126" s="253" t="s">
        <v>172</v>
      </c>
    </row>
    <row r="127" spans="2:17" ht="15.6" x14ac:dyDescent="0.3">
      <c r="B127" s="192">
        <v>2018</v>
      </c>
      <c r="C127" s="194">
        <v>0.12820000000000001</v>
      </c>
      <c r="N127" s="247">
        <f>N126-365</f>
        <v>40179.75</v>
      </c>
      <c r="O127" s="252" t="s">
        <v>173</v>
      </c>
      <c r="P127" s="255" t="s">
        <v>154</v>
      </c>
      <c r="Q127" s="253" t="s">
        <v>174</v>
      </c>
    </row>
    <row r="128" spans="2:17" ht="15.6" x14ac:dyDescent="0.3">
      <c r="B128" s="192">
        <v>2019</v>
      </c>
      <c r="C128" s="194">
        <v>0.12820000000000001</v>
      </c>
      <c r="N128" s="247">
        <f>N127-365</f>
        <v>39814.75</v>
      </c>
      <c r="O128" s="252" t="s">
        <v>177</v>
      </c>
      <c r="P128" s="255" t="s">
        <v>154</v>
      </c>
      <c r="Q128" s="253" t="s">
        <v>178</v>
      </c>
    </row>
    <row r="129" spans="2:17" ht="15.6" x14ac:dyDescent="0.3">
      <c r="B129" s="192">
        <v>2020</v>
      </c>
      <c r="C129" s="194">
        <v>0.1229</v>
      </c>
      <c r="N129" s="247">
        <f>N128-366</f>
        <v>39448.75</v>
      </c>
      <c r="O129" s="252" t="s">
        <v>181</v>
      </c>
      <c r="P129" s="255" t="s">
        <v>154</v>
      </c>
      <c r="Q129" s="253" t="s">
        <v>182</v>
      </c>
    </row>
    <row r="130" spans="2:17" ht="15.6" x14ac:dyDescent="0.3">
      <c r="B130" s="192">
        <v>2021</v>
      </c>
      <c r="C130" s="194">
        <v>0.1229</v>
      </c>
      <c r="N130" s="247">
        <f>N129-365</f>
        <v>39083.75</v>
      </c>
      <c r="O130" s="252" t="s">
        <v>183</v>
      </c>
      <c r="P130" s="255" t="s">
        <v>154</v>
      </c>
      <c r="Q130" s="253" t="s">
        <v>184</v>
      </c>
    </row>
    <row r="131" spans="2:17" ht="15.6" x14ac:dyDescent="0.3">
      <c r="B131" s="192">
        <v>2022</v>
      </c>
      <c r="C131" s="194">
        <v>0.1229</v>
      </c>
      <c r="N131" s="247">
        <f>N130-365</f>
        <v>38718.75</v>
      </c>
      <c r="O131" s="252" t="s">
        <v>163</v>
      </c>
      <c r="P131" s="255" t="s">
        <v>154</v>
      </c>
      <c r="Q131" s="253" t="s">
        <v>186</v>
      </c>
    </row>
    <row r="132" spans="2:17" ht="15.6" x14ac:dyDescent="0.3">
      <c r="B132" s="192">
        <v>2023</v>
      </c>
      <c r="C132" s="194">
        <v>0.12670000000000001</v>
      </c>
      <c r="N132" s="247">
        <f>N131-365</f>
        <v>38353.75</v>
      </c>
      <c r="O132" s="252" t="s">
        <v>171</v>
      </c>
      <c r="P132" s="255" t="s">
        <v>154</v>
      </c>
      <c r="Q132" s="253" t="s">
        <v>172</v>
      </c>
    </row>
    <row r="133" spans="2:17" ht="15.6" x14ac:dyDescent="0.3">
      <c r="B133" s="192">
        <v>2024</v>
      </c>
      <c r="C133" s="194">
        <v>0.12670000000000001</v>
      </c>
      <c r="N133" s="247">
        <f>N132-366</f>
        <v>37987.75</v>
      </c>
      <c r="O133" s="252" t="s">
        <v>189</v>
      </c>
      <c r="P133" s="255" t="s">
        <v>174</v>
      </c>
      <c r="Q133" s="253" t="s">
        <v>153</v>
      </c>
    </row>
    <row r="134" spans="2:17" ht="16.2" thickBot="1" x14ac:dyDescent="0.35">
      <c r="B134" s="195">
        <v>2025</v>
      </c>
      <c r="C134" s="197">
        <v>0.12670000000000001</v>
      </c>
      <c r="N134" s="247">
        <f>N133-365</f>
        <v>37622.75</v>
      </c>
      <c r="O134" s="252" t="s">
        <v>153</v>
      </c>
      <c r="P134" s="255" t="s">
        <v>154</v>
      </c>
      <c r="Q134" s="253" t="s">
        <v>190</v>
      </c>
    </row>
    <row r="135" spans="2:17" ht="16.2" thickTop="1" x14ac:dyDescent="0.3">
      <c r="N135" s="247">
        <f>N134-365</f>
        <v>37257.75</v>
      </c>
      <c r="O135" s="252" t="s">
        <v>191</v>
      </c>
      <c r="P135" s="255" t="s">
        <v>154</v>
      </c>
      <c r="Q135" s="253" t="s">
        <v>161</v>
      </c>
    </row>
    <row r="136" spans="2:17" ht="16.2" thickBot="1" x14ac:dyDescent="0.35">
      <c r="N136" s="247">
        <f>N135-365</f>
        <v>36892.75</v>
      </c>
      <c r="O136" s="252" t="s">
        <v>177</v>
      </c>
      <c r="P136" s="255" t="s">
        <v>154</v>
      </c>
      <c r="Q136" s="260" t="s">
        <v>178</v>
      </c>
    </row>
    <row r="137" spans="2:17" ht="16.2" thickTop="1" x14ac:dyDescent="0.3">
      <c r="N137" s="247">
        <f>N136-366</f>
        <v>36526.75</v>
      </c>
      <c r="O137" s="252" t="s">
        <v>153</v>
      </c>
      <c r="P137" s="253" t="s">
        <v>154</v>
      </c>
      <c r="Q137" s="238"/>
    </row>
    <row r="138" spans="2:17" ht="15.6" x14ac:dyDescent="0.3">
      <c r="N138" s="247">
        <f>N137-365</f>
        <v>36161.75</v>
      </c>
      <c r="O138" s="252" t="s">
        <v>158</v>
      </c>
      <c r="P138" s="253" t="s">
        <v>154</v>
      </c>
      <c r="Q138" s="238"/>
    </row>
    <row r="139" spans="2:17" ht="15.6" x14ac:dyDescent="0.3">
      <c r="N139" s="247">
        <f>N138-365</f>
        <v>35796.75</v>
      </c>
      <c r="O139" s="252" t="s">
        <v>160</v>
      </c>
      <c r="P139" s="253" t="s">
        <v>154</v>
      </c>
      <c r="Q139" s="238"/>
    </row>
    <row r="140" spans="2:17" ht="15.6" x14ac:dyDescent="0.3">
      <c r="N140" s="247">
        <f>N139-365</f>
        <v>35431.75</v>
      </c>
      <c r="O140" s="252" t="s">
        <v>161</v>
      </c>
      <c r="P140" s="253" t="s">
        <v>154</v>
      </c>
      <c r="Q140" s="238"/>
    </row>
    <row r="141" spans="2:17" ht="17.399999999999999" x14ac:dyDescent="0.3">
      <c r="D141" s="275" t="s">
        <v>117</v>
      </c>
      <c r="E141" s="262"/>
      <c r="N141" s="247">
        <f>N140-366</f>
        <v>35065.75</v>
      </c>
      <c r="O141" s="252" t="s">
        <v>163</v>
      </c>
      <c r="P141" s="253" t="s">
        <v>154</v>
      </c>
      <c r="Q141" s="238"/>
    </row>
    <row r="142" spans="2:17" ht="19.5" customHeight="1" x14ac:dyDescent="0.3">
      <c r="D142" s="276" t="s">
        <v>118</v>
      </c>
      <c r="E142" s="263"/>
      <c r="F142" s="262"/>
      <c r="G142" s="262"/>
      <c r="H142" s="262"/>
      <c r="I142" s="262"/>
      <c r="J142" s="262"/>
      <c r="K142" s="262"/>
      <c r="N142" s="247">
        <f>N141-365</f>
        <v>34700.75</v>
      </c>
      <c r="O142" s="252" t="s">
        <v>154</v>
      </c>
      <c r="P142" s="253" t="s">
        <v>154</v>
      </c>
      <c r="Q142" s="238"/>
    </row>
    <row r="143" spans="2:17" ht="15.75" customHeight="1" x14ac:dyDescent="0.3">
      <c r="D143" s="263"/>
      <c r="E143" s="263"/>
      <c r="F143" s="263"/>
      <c r="G143" s="263"/>
      <c r="H143" s="263"/>
      <c r="I143" s="263"/>
      <c r="J143" s="263"/>
      <c r="K143" s="263"/>
      <c r="N143" s="247">
        <f>N142-365</f>
        <v>34335.75</v>
      </c>
      <c r="O143" s="252" t="s">
        <v>160</v>
      </c>
      <c r="P143" s="253" t="s">
        <v>154</v>
      </c>
      <c r="Q143" s="238"/>
    </row>
    <row r="144" spans="2:17" ht="17.399999999999999" x14ac:dyDescent="0.3">
      <c r="D144" s="263"/>
      <c r="E144" s="263"/>
      <c r="F144" s="263"/>
      <c r="G144" s="263"/>
      <c r="H144" s="263"/>
      <c r="I144" s="263"/>
      <c r="J144" s="263"/>
      <c r="K144" s="263"/>
      <c r="L144" s="262"/>
      <c r="N144" s="247">
        <f>N143-365</f>
        <v>33970.75</v>
      </c>
      <c r="O144" s="252" t="s">
        <v>167</v>
      </c>
      <c r="P144" s="253" t="s">
        <v>154</v>
      </c>
      <c r="Q144" s="238"/>
    </row>
    <row r="145" spans="4:17" ht="15.6" x14ac:dyDescent="0.3">
      <c r="D145" s="263"/>
      <c r="E145" s="263"/>
      <c r="F145" s="263"/>
      <c r="G145" s="263"/>
      <c r="H145" s="263"/>
      <c r="I145" s="263"/>
      <c r="J145" s="263"/>
      <c r="K145" s="263"/>
      <c r="L145" s="263"/>
      <c r="N145" s="247">
        <f>N144-366</f>
        <v>33604.75</v>
      </c>
      <c r="O145" s="252" t="s">
        <v>168</v>
      </c>
      <c r="P145" s="253" t="s">
        <v>169</v>
      </c>
      <c r="Q145" s="238"/>
    </row>
    <row r="146" spans="4:17" ht="15.6" x14ac:dyDescent="0.3">
      <c r="D146" s="263"/>
      <c r="E146" s="263"/>
      <c r="F146" s="263"/>
      <c r="G146" s="263"/>
      <c r="H146" s="263"/>
      <c r="I146" s="263"/>
      <c r="J146" s="263"/>
      <c r="K146" s="263"/>
      <c r="L146" s="263"/>
      <c r="N146" s="247">
        <f>N145-365</f>
        <v>33239.75</v>
      </c>
      <c r="O146" s="252" t="s">
        <v>170</v>
      </c>
      <c r="P146" s="253" t="s">
        <v>167</v>
      </c>
      <c r="Q146" s="238"/>
    </row>
    <row r="147" spans="4:17" ht="15.6" x14ac:dyDescent="0.3">
      <c r="D147" s="263"/>
      <c r="E147" s="263"/>
      <c r="F147" s="263"/>
      <c r="G147" s="263"/>
      <c r="H147" s="263"/>
      <c r="I147" s="263"/>
      <c r="J147" s="263"/>
      <c r="K147" s="263"/>
      <c r="L147" s="263"/>
      <c r="N147" s="247">
        <f>N146-365</f>
        <v>32874.75</v>
      </c>
      <c r="O147" s="252" t="s">
        <v>170</v>
      </c>
      <c r="P147" s="253" t="s">
        <v>167</v>
      </c>
      <c r="Q147" s="238"/>
    </row>
    <row r="148" spans="4:17" ht="15.6" x14ac:dyDescent="0.3">
      <c r="D148" s="263"/>
      <c r="E148" s="263"/>
      <c r="F148" s="263"/>
      <c r="G148" s="263"/>
      <c r="H148" s="263"/>
      <c r="I148" s="263"/>
      <c r="J148" s="263"/>
      <c r="K148" s="263"/>
      <c r="L148" s="263"/>
      <c r="N148" s="247">
        <f>N147-365</f>
        <v>32509.75</v>
      </c>
      <c r="O148" s="252" t="s">
        <v>175</v>
      </c>
      <c r="P148" s="253" t="s">
        <v>176</v>
      </c>
      <c r="Q148" s="238"/>
    </row>
    <row r="149" spans="4:17" ht="15.6" x14ac:dyDescent="0.3">
      <c r="D149" s="263"/>
      <c r="E149" s="263"/>
      <c r="F149" s="263"/>
      <c r="G149" s="263"/>
      <c r="H149" s="263"/>
      <c r="I149" s="263"/>
      <c r="J149" s="263"/>
      <c r="K149" s="263"/>
      <c r="L149" s="263"/>
      <c r="N149" s="247">
        <f>N148-366</f>
        <v>32143.75</v>
      </c>
      <c r="O149" s="252" t="s">
        <v>179</v>
      </c>
      <c r="P149" s="253" t="s">
        <v>180</v>
      </c>
      <c r="Q149" s="238"/>
    </row>
    <row r="150" spans="4:17" ht="15.6" x14ac:dyDescent="0.3">
      <c r="D150" s="3" t="s">
        <v>119</v>
      </c>
      <c r="F150" s="263"/>
      <c r="G150" s="263"/>
      <c r="H150" s="263"/>
      <c r="I150" s="263"/>
      <c r="J150" s="263"/>
      <c r="K150" s="263"/>
      <c r="L150" s="263"/>
      <c r="N150" s="247">
        <f>N149-365</f>
        <v>31778.75</v>
      </c>
      <c r="O150" s="252" t="s">
        <v>175</v>
      </c>
      <c r="P150" s="253" t="s">
        <v>176</v>
      </c>
      <c r="Q150" s="238"/>
    </row>
    <row r="151" spans="4:17" ht="15.6" x14ac:dyDescent="0.3">
      <c r="L151" s="263"/>
      <c r="N151" s="247">
        <f>N150-365</f>
        <v>31413.75</v>
      </c>
      <c r="O151" s="252" t="s">
        <v>185</v>
      </c>
      <c r="P151" s="253" t="s">
        <v>182</v>
      </c>
      <c r="Q151" s="238"/>
    </row>
    <row r="152" spans="4:17" ht="15.6" x14ac:dyDescent="0.3">
      <c r="L152" s="263"/>
      <c r="N152" s="247">
        <f>N151-365</f>
        <v>31048.75</v>
      </c>
      <c r="O152" s="252" t="s">
        <v>179</v>
      </c>
      <c r="P152" s="253" t="s">
        <v>180</v>
      </c>
      <c r="Q152" s="238"/>
    </row>
    <row r="153" spans="4:17" ht="15.6" x14ac:dyDescent="0.3">
      <c r="N153" s="247">
        <f>N152-366</f>
        <v>30682.75</v>
      </c>
      <c r="O153" s="252" t="s">
        <v>187</v>
      </c>
      <c r="P153" s="253" t="s">
        <v>188</v>
      </c>
      <c r="Q153" s="238"/>
    </row>
    <row r="154" spans="4:17" ht="16.2" thickBot="1" x14ac:dyDescent="0.35">
      <c r="N154" s="247">
        <f>N153-365</f>
        <v>30317.75</v>
      </c>
      <c r="O154" s="252" t="s">
        <v>165</v>
      </c>
      <c r="P154" s="260" t="s">
        <v>164</v>
      </c>
      <c r="Q154" s="238"/>
    </row>
    <row r="155" spans="4:17" ht="16.2" thickTop="1" x14ac:dyDescent="0.3">
      <c r="N155" s="247">
        <f>N154-365</f>
        <v>29952.75</v>
      </c>
      <c r="O155" s="251" t="s">
        <v>152</v>
      </c>
      <c r="P155" s="238"/>
      <c r="Q155" s="238"/>
    </row>
    <row r="156" spans="4:17" ht="15.6" x14ac:dyDescent="0.3">
      <c r="N156" s="247">
        <f>N155-365</f>
        <v>29587.75</v>
      </c>
      <c r="O156" s="251" t="s">
        <v>157</v>
      </c>
      <c r="P156" s="238"/>
      <c r="Q156" s="238"/>
    </row>
    <row r="157" spans="4:17" ht="15.6" x14ac:dyDescent="0.3">
      <c r="N157" s="247">
        <f>N156-366</f>
        <v>29221.75</v>
      </c>
      <c r="O157" s="251" t="s">
        <v>159</v>
      </c>
      <c r="P157" s="238"/>
      <c r="Q157" s="238"/>
    </row>
    <row r="158" spans="4:17" ht="15.6" x14ac:dyDescent="0.3">
      <c r="N158" s="247">
        <f>N157-365</f>
        <v>28856.75</v>
      </c>
      <c r="O158" s="251" t="s">
        <v>159</v>
      </c>
      <c r="P158" s="238"/>
      <c r="Q158" s="238"/>
    </row>
    <row r="159" spans="4:17" ht="15.6" x14ac:dyDescent="0.3">
      <c r="N159" s="247">
        <f>N158-365</f>
        <v>28491.75</v>
      </c>
      <c r="O159" s="251" t="s">
        <v>162</v>
      </c>
      <c r="P159" s="238"/>
      <c r="Q159" s="238"/>
    </row>
    <row r="160" spans="4:17" ht="15.6" x14ac:dyDescent="0.3">
      <c r="N160" s="247">
        <f>N159-365</f>
        <v>28126.75</v>
      </c>
      <c r="O160" s="251" t="s">
        <v>164</v>
      </c>
      <c r="P160" s="238"/>
      <c r="Q160" s="238"/>
    </row>
    <row r="161" spans="14:17" ht="15.6" x14ac:dyDescent="0.3">
      <c r="N161" s="247">
        <f>N160-366</f>
        <v>27760.75</v>
      </c>
      <c r="O161" s="251" t="s">
        <v>165</v>
      </c>
      <c r="P161" s="238"/>
      <c r="Q161" s="238"/>
    </row>
    <row r="162" spans="14:17" ht="15.6" x14ac:dyDescent="0.3">
      <c r="N162" s="247">
        <f>N161-365</f>
        <v>27395.75</v>
      </c>
      <c r="O162" s="251" t="s">
        <v>166</v>
      </c>
      <c r="P162" s="238"/>
      <c r="Q162" s="238"/>
    </row>
    <row r="163" spans="14:17" ht="16.2" thickBot="1" x14ac:dyDescent="0.35">
      <c r="N163" s="257">
        <f>N162-365</f>
        <v>27030.75</v>
      </c>
      <c r="O163" s="258" t="s">
        <v>164</v>
      </c>
      <c r="P163" s="238"/>
      <c r="Q163" s="238"/>
    </row>
    <row r="164" spans="14:17" ht="15" thickTop="1" x14ac:dyDescent="0.3"/>
  </sheetData>
  <mergeCells count="14">
    <mergeCell ref="AK52:AK62"/>
    <mergeCell ref="AK46:AK47"/>
    <mergeCell ref="AL46:AL47"/>
    <mergeCell ref="AK48:AK49"/>
    <mergeCell ref="AL48:AL49"/>
    <mergeCell ref="AK50:AK51"/>
    <mergeCell ref="AL50:AL51"/>
    <mergeCell ref="L5:P5"/>
    <mergeCell ref="AO16:AO17"/>
    <mergeCell ref="AJ16:AJ17"/>
    <mergeCell ref="AK16:AK17"/>
    <mergeCell ref="AL16:AL17"/>
    <mergeCell ref="AM16:AM17"/>
    <mergeCell ref="AN16:AN17"/>
  </mergeCells>
  <hyperlinks>
    <hyperlink ref="D150" r:id="rId1" xr:uid="{0ABE2A98-4FBF-4476-9F8F-F6071FD24A04}"/>
    <hyperlink ref="Z85" r:id="rId2" location="45" xr:uid="{44C3CB4D-1DDA-4A5D-8A0A-9ECB6DD82A60}"/>
    <hyperlink ref="U9" r:id="rId3" location="18" xr:uid="{68B55EED-7C9A-4438-B854-1251ECFD478C}"/>
    <hyperlink ref="V19" r:id="rId4" location="RREGOP/Pages/IN01RXXX00A001.aspx" xr:uid="{ED8F6F3A-D980-4661-B87B-4587E7BFDB40}"/>
    <hyperlink ref="M49" r:id="rId5" location="rregop" xr:uid="{035BA243-4764-4E71-9646-52F41186F468}"/>
  </hyperlinks>
  <pageMargins left="0.7" right="0.7" top="0.75" bottom="0.75" header="0.3" footer="0.3"/>
  <pageSetup orientation="portrait" r:id="rId6"/>
  <ignoredErrors>
    <ignoredError sqref="N117:N161" formula="1"/>
    <ignoredError sqref="AA12:AD20 AA11 AC11:AD11 AA22:AD30 AA21 AC21:AD21" evalError="1"/>
  </ignoredErrors>
  <drawing r:id="rId7"/>
  <tableParts count="1">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8BB5B-9D0D-4F17-AC7E-F959FCA0A9C1}">
  <dimension ref="B1:BF162"/>
  <sheetViews>
    <sheetView zoomScaleNormal="100" workbookViewId="0">
      <selection activeCell="F28" sqref="F28"/>
    </sheetView>
  </sheetViews>
  <sheetFormatPr baseColWidth="10" defaultColWidth="11.44140625" defaultRowHeight="14.4" x14ac:dyDescent="0.3"/>
  <cols>
    <col min="4" max="4" width="30" customWidth="1"/>
    <col min="5" max="5" width="13" bestFit="1" customWidth="1"/>
    <col min="8" max="8" width="18.44140625" customWidth="1"/>
    <col min="9" max="9" width="12" bestFit="1" customWidth="1"/>
    <col min="11" max="11" width="19.77734375" customWidth="1"/>
    <col min="12" max="12" width="16.77734375" customWidth="1"/>
    <col min="14" max="14" width="10.77734375" customWidth="1"/>
    <col min="15" max="15" width="12.5546875" customWidth="1"/>
    <col min="16" max="16" width="11.21875" customWidth="1"/>
    <col min="17" max="17" width="11.5546875" customWidth="1"/>
    <col min="18" max="18" width="12.5546875" customWidth="1"/>
    <col min="19" max="19" width="11.77734375" customWidth="1"/>
    <col min="20" max="20" width="1.77734375" customWidth="1"/>
    <col min="21" max="21" width="20.21875" customWidth="1"/>
    <col min="22" max="22" width="12.5546875" customWidth="1"/>
    <col min="24" max="24" width="22.21875" customWidth="1"/>
    <col min="26" max="26" width="11.5546875" customWidth="1"/>
    <col min="27" max="27" width="13.44140625" customWidth="1"/>
    <col min="28" max="28" width="12" customWidth="1"/>
    <col min="29" max="29" width="11.21875" customWidth="1"/>
    <col min="30" max="30" width="12.21875" customWidth="1"/>
    <col min="36" max="36" width="22.44140625" customWidth="1"/>
    <col min="38" max="38" width="14.21875" customWidth="1"/>
    <col min="45" max="45" width="30.77734375" customWidth="1"/>
  </cols>
  <sheetData>
    <row r="1" spans="4:41" x14ac:dyDescent="0.3">
      <c r="G1" s="26" t="s">
        <v>47</v>
      </c>
    </row>
    <row r="2" spans="4:41" ht="15" thickBot="1" x14ac:dyDescent="0.35">
      <c r="D2" t="s">
        <v>68</v>
      </c>
    </row>
    <row r="3" spans="4:41" ht="15" thickTop="1" x14ac:dyDescent="0.3">
      <c r="D3" s="142" t="s">
        <v>69</v>
      </c>
      <c r="E3" s="152">
        <v>86720</v>
      </c>
      <c r="L3" s="43" t="s">
        <v>100</v>
      </c>
    </row>
    <row r="4" spans="4:41" ht="15" thickBot="1" x14ac:dyDescent="0.35">
      <c r="D4" s="143" t="s">
        <v>70</v>
      </c>
      <c r="E4" s="153">
        <v>61600</v>
      </c>
    </row>
    <row r="5" spans="4:41" ht="16.5" customHeight="1" thickTop="1" thickBot="1" x14ac:dyDescent="0.35">
      <c r="D5" s="143" t="s">
        <v>71</v>
      </c>
      <c r="E5" s="146">
        <f>25%*E4</f>
        <v>15400</v>
      </c>
      <c r="L5" s="601" t="s">
        <v>250</v>
      </c>
      <c r="M5" s="602"/>
      <c r="N5" s="602"/>
      <c r="O5" s="602"/>
      <c r="P5" s="603"/>
    </row>
    <row r="6" spans="4:41" ht="15.6" thickTop="1" thickBot="1" x14ac:dyDescent="0.35">
      <c r="D6" s="143" t="s">
        <v>72</v>
      </c>
      <c r="E6" s="146">
        <f>E3-E5</f>
        <v>71320</v>
      </c>
      <c r="H6" s="79" t="str">
        <f>Année&amp;" MPE"</f>
        <v>2023 MPE</v>
      </c>
      <c r="I6" s="356" t="s">
        <v>251</v>
      </c>
      <c r="L6" s="159">
        <v>2019</v>
      </c>
      <c r="M6" s="50">
        <v>2020</v>
      </c>
      <c r="N6" s="50">
        <v>2021</v>
      </c>
      <c r="O6" s="50">
        <v>2022</v>
      </c>
      <c r="P6" s="160">
        <v>2023</v>
      </c>
    </row>
    <row r="7" spans="4:41" ht="15" customHeight="1" thickTop="1" thickBot="1" x14ac:dyDescent="0.35">
      <c r="D7" s="143" t="s">
        <v>73</v>
      </c>
      <c r="E7" s="155">
        <v>0.1033</v>
      </c>
      <c r="H7" s="75" t="s">
        <v>252</v>
      </c>
      <c r="I7" s="357" t="s">
        <v>253</v>
      </c>
      <c r="L7" s="161">
        <v>1.5E-3</v>
      </c>
      <c r="M7" s="162">
        <v>3.0000000000000001E-3</v>
      </c>
      <c r="N7" s="162">
        <v>5.0000000000000001E-3</v>
      </c>
      <c r="O7" s="162">
        <v>7.4999999999999997E-3</v>
      </c>
      <c r="P7" s="163">
        <v>0.01</v>
      </c>
      <c r="AJ7" s="199"/>
      <c r="AK7" s="217">
        <v>2014</v>
      </c>
      <c r="AL7" s="394">
        <v>2017</v>
      </c>
      <c r="AM7" s="218">
        <v>2022</v>
      </c>
    </row>
    <row r="8" spans="4:41" ht="15" customHeight="1" thickTop="1" thickBot="1" x14ac:dyDescent="0.35">
      <c r="D8" s="143" t="s">
        <v>74</v>
      </c>
      <c r="E8" s="146">
        <f>E7*E6</f>
        <v>7367.3559999999998</v>
      </c>
      <c r="H8" s="75" t="s">
        <v>254</v>
      </c>
      <c r="I8" s="358" t="s">
        <v>255</v>
      </c>
      <c r="K8" s="79" t="s">
        <v>256</v>
      </c>
      <c r="L8" s="164">
        <f>L7+$I$14</f>
        <v>6.3E-2</v>
      </c>
      <c r="M8" s="165">
        <f>M7+$I$14</f>
        <v>6.4500000000000002E-2</v>
      </c>
      <c r="N8" s="165">
        <f>N7+$I$14</f>
        <v>6.6500000000000004E-2</v>
      </c>
      <c r="O8" s="165">
        <f>O7+$I$14</f>
        <v>6.9000000000000006E-2</v>
      </c>
      <c r="P8" s="166">
        <f>P7+$I$14</f>
        <v>7.1499999999999994E-2</v>
      </c>
      <c r="Q8" s="40"/>
      <c r="U8" s="3" t="s">
        <v>244</v>
      </c>
      <c r="X8" t="s">
        <v>195</v>
      </c>
      <c r="Y8" s="290">
        <v>1</v>
      </c>
      <c r="Z8" s="40" t="s">
        <v>196</v>
      </c>
      <c r="AJ8" s="223" t="s">
        <v>143</v>
      </c>
      <c r="AK8" s="224">
        <f>PP!AK12</f>
        <v>0.49</v>
      </c>
      <c r="AL8" s="395">
        <f>PP!AL12</f>
        <v>0.52</v>
      </c>
      <c r="AM8" s="225">
        <f>PP!AM12</f>
        <v>0.47040912462683798</v>
      </c>
    </row>
    <row r="9" spans="4:41" ht="15" customHeight="1" thickTop="1" thickBot="1" x14ac:dyDescent="0.35">
      <c r="D9" s="144" t="s">
        <v>75</v>
      </c>
      <c r="E9" s="154">
        <f>E8/26</f>
        <v>283.35984615384615</v>
      </c>
      <c r="H9" s="75" t="s">
        <v>257</v>
      </c>
      <c r="I9" s="157" t="s">
        <v>258</v>
      </c>
      <c r="K9" s="75" t="s">
        <v>259</v>
      </c>
      <c r="L9" s="167" t="s">
        <v>260</v>
      </c>
      <c r="M9" s="168" t="s">
        <v>261</v>
      </c>
      <c r="N9" s="168" t="s">
        <v>262</v>
      </c>
      <c r="O9" s="168" t="s">
        <v>263</v>
      </c>
      <c r="P9" s="169" t="s">
        <v>264</v>
      </c>
      <c r="Q9" s="29"/>
      <c r="AJ9" s="209" t="s">
        <v>146</v>
      </c>
      <c r="AK9" s="230">
        <f>PP!AK13</f>
        <v>2.2200000000000002</v>
      </c>
      <c r="AL9" s="396">
        <f>PP!AL13</f>
        <v>2.2999999999999998</v>
      </c>
      <c r="AM9" s="231">
        <f>PP!AM13</f>
        <v>0</v>
      </c>
    </row>
    <row r="10" spans="4:41" ht="15" customHeight="1" thickTop="1" thickBot="1" x14ac:dyDescent="0.35">
      <c r="H10" s="76" t="s">
        <v>265</v>
      </c>
      <c r="I10" s="359" t="s">
        <v>266</v>
      </c>
      <c r="K10" s="76" t="s">
        <v>265</v>
      </c>
      <c r="L10" s="170" t="s">
        <v>267</v>
      </c>
      <c r="M10" s="171" t="s">
        <v>268</v>
      </c>
      <c r="N10" s="171" t="s">
        <v>269</v>
      </c>
      <c r="O10" s="171" t="s">
        <v>270</v>
      </c>
      <c r="P10" s="172" t="s">
        <v>271</v>
      </c>
      <c r="U10" s="291">
        <f>PP!U10</f>
        <v>2023</v>
      </c>
      <c r="X10" s="292" t="s">
        <v>197</v>
      </c>
      <c r="Y10" s="293" t="s">
        <v>198</v>
      </c>
      <c r="Z10" s="318" t="s">
        <v>199</v>
      </c>
      <c r="AA10" s="294" t="s">
        <v>114</v>
      </c>
      <c r="AB10" s="294" t="s">
        <v>200</v>
      </c>
      <c r="AC10" s="295" t="s">
        <v>201</v>
      </c>
      <c r="AD10" s="296" t="s">
        <v>202</v>
      </c>
    </row>
    <row r="11" spans="4:41" ht="15" customHeight="1" thickTop="1" thickBot="1" x14ac:dyDescent="0.35">
      <c r="D11" t="s">
        <v>76</v>
      </c>
      <c r="Q11" s="29"/>
      <c r="U11" s="297" t="str">
        <f>PP!U11</f>
        <v>MGA :</v>
      </c>
      <c r="V11" s="316">
        <f>PP!V11</f>
        <v>66600</v>
      </c>
      <c r="X11" s="298">
        <f>PP!X11</f>
        <v>1</v>
      </c>
      <c r="Y11" s="299">
        <f>PP!Y11</f>
        <v>46527</v>
      </c>
      <c r="Z11" s="300">
        <f>PP!Z11</f>
        <v>46527</v>
      </c>
      <c r="AA11" s="301">
        <f>PP!AA11</f>
        <v>2895.0812999999998</v>
      </c>
      <c r="AB11" s="319">
        <f>PP!AB11</f>
        <v>325.18259999999998</v>
      </c>
      <c r="AC11" s="302">
        <f>PP!AC11</f>
        <v>2569.8986999999997</v>
      </c>
      <c r="AD11" s="322">
        <f>PP!AD11</f>
        <v>98.842257692307683</v>
      </c>
      <c r="AJ11" t="s">
        <v>387</v>
      </c>
    </row>
    <row r="12" spans="4:41" ht="15" customHeight="1" thickTop="1" x14ac:dyDescent="0.3">
      <c r="D12" s="142" t="s">
        <v>77</v>
      </c>
      <c r="E12" s="149">
        <v>36.299999999999997</v>
      </c>
      <c r="H12" s="43" t="s">
        <v>108</v>
      </c>
      <c r="U12" s="303" t="str">
        <f>PP!U12</f>
        <v>35% du MGA :</v>
      </c>
      <c r="V12" s="94">
        <f>PP!V12</f>
        <v>23310</v>
      </c>
      <c r="X12" s="304">
        <f>PP!X12</f>
        <v>2</v>
      </c>
      <c r="Y12" s="305">
        <f>PP!Y12</f>
        <v>49636</v>
      </c>
      <c r="Z12" s="306">
        <f>PP!Z12</f>
        <v>49636</v>
      </c>
      <c r="AA12" s="307">
        <f>PP!AA12</f>
        <v>3196.3434000000002</v>
      </c>
      <c r="AB12" s="320">
        <f>PP!AB12</f>
        <v>274.8168</v>
      </c>
      <c r="AC12" s="308">
        <f>PP!AC12</f>
        <v>2921.5266000000001</v>
      </c>
      <c r="AD12" s="322">
        <f>PP!AD12</f>
        <v>112.3664076923077</v>
      </c>
      <c r="AJ12" s="586" t="s">
        <v>372</v>
      </c>
      <c r="AK12" s="588" t="s">
        <v>368</v>
      </c>
      <c r="AL12" s="588" t="s">
        <v>369</v>
      </c>
      <c r="AM12" s="588" t="s">
        <v>370</v>
      </c>
      <c r="AN12" s="588" t="s">
        <v>371</v>
      </c>
      <c r="AO12" s="584" t="s">
        <v>125</v>
      </c>
    </row>
    <row r="13" spans="4:41" ht="15" customHeight="1" thickBot="1" x14ac:dyDescent="0.35">
      <c r="D13" s="143" t="s">
        <v>78</v>
      </c>
      <c r="E13" s="150">
        <v>70000</v>
      </c>
      <c r="U13" s="303" t="str">
        <f>PP!U13</f>
        <v>25% du MGA :</v>
      </c>
      <c r="V13" s="94">
        <f>PP!V13</f>
        <v>16650</v>
      </c>
      <c r="X13" s="304">
        <f>PP!X13</f>
        <v>3</v>
      </c>
      <c r="Y13" s="305">
        <f>PP!Y13</f>
        <v>52954</v>
      </c>
      <c r="Z13" s="306">
        <f>PP!Z13</f>
        <v>52954</v>
      </c>
      <c r="AA13" s="307">
        <f>PP!AA13</f>
        <v>3517.8575999999998</v>
      </c>
      <c r="AB13" s="320">
        <f>PP!AB13</f>
        <v>221.06519999999998</v>
      </c>
      <c r="AC13" s="308">
        <f>PP!AC13</f>
        <v>3296.7923999999998</v>
      </c>
      <c r="AD13" s="322">
        <f>PP!AD13</f>
        <v>126.79970769230769</v>
      </c>
      <c r="AJ13" s="587"/>
      <c r="AK13" s="589"/>
      <c r="AL13" s="589"/>
      <c r="AM13" s="589"/>
      <c r="AN13" s="589"/>
      <c r="AO13" s="585"/>
    </row>
    <row r="14" spans="4:41" ht="15" customHeight="1" thickTop="1" thickBot="1" x14ac:dyDescent="0.35">
      <c r="D14" s="144" t="s">
        <v>79</v>
      </c>
      <c r="E14" s="145">
        <f>2%*E13*E12</f>
        <v>50819.999999999993</v>
      </c>
      <c r="I14" s="360">
        <v>6.1499999999999999E-2</v>
      </c>
      <c r="L14" s="361">
        <v>92.100000000000009</v>
      </c>
      <c r="M14" s="362">
        <v>184.20000000000002</v>
      </c>
      <c r="N14" s="362">
        <v>307</v>
      </c>
      <c r="O14" s="362">
        <v>460.5</v>
      </c>
      <c r="P14" s="363">
        <v>614</v>
      </c>
      <c r="U14" s="303" t="str">
        <f>PP!U14</f>
        <v>Taux de cotisation :</v>
      </c>
      <c r="V14" s="155">
        <f>PP!V14</f>
        <v>9.69E-2</v>
      </c>
      <c r="X14" s="304">
        <f>PP!X14</f>
        <v>4</v>
      </c>
      <c r="Y14" s="305">
        <f>PP!Y14</f>
        <v>54127</v>
      </c>
      <c r="Z14" s="306">
        <f>PP!Z14</f>
        <v>54127</v>
      </c>
      <c r="AA14" s="307">
        <f>PP!AA14</f>
        <v>3631.5212999999999</v>
      </c>
      <c r="AB14" s="320">
        <f>PP!AB14</f>
        <v>202.06259999999997</v>
      </c>
      <c r="AC14" s="308">
        <f>PP!AC14</f>
        <v>3429.4587000000001</v>
      </c>
      <c r="AD14" s="322">
        <f>PP!AD14</f>
        <v>131.9022576923077</v>
      </c>
      <c r="AJ14" s="200" t="s">
        <v>126</v>
      </c>
      <c r="AK14" s="201">
        <f>PP!AK18</f>
        <v>613271</v>
      </c>
      <c r="AL14" s="202">
        <f>PP!AL18</f>
        <v>544738</v>
      </c>
      <c r="AM14" s="202">
        <f>PP!AM18</f>
        <v>319481</v>
      </c>
      <c r="AN14" s="397">
        <f>PP!AN18</f>
        <v>21835</v>
      </c>
      <c r="AO14" s="402">
        <f>SUM(AK14:AN14)</f>
        <v>1499325</v>
      </c>
    </row>
    <row r="15" spans="4:41" ht="15" customHeight="1" thickTop="1" thickBot="1" x14ac:dyDescent="0.35">
      <c r="I15" s="364">
        <f>PP!O10</f>
        <v>3880.65</v>
      </c>
      <c r="L15" s="365">
        <v>3407.7</v>
      </c>
      <c r="M15" s="366">
        <v>3499.7999999999997</v>
      </c>
      <c r="N15" s="366">
        <v>3622.6</v>
      </c>
      <c r="O15" s="366">
        <v>3776.1</v>
      </c>
      <c r="P15" s="367">
        <v>3929.6</v>
      </c>
      <c r="U15" s="303" t="str">
        <f>PP!U15</f>
        <v>Facteur de réduction :</v>
      </c>
      <c r="V15" s="368">
        <f>PP!V15</f>
        <v>1.6199999999999999E-2</v>
      </c>
      <c r="X15" s="304">
        <f>PP!X15</f>
        <v>5</v>
      </c>
      <c r="Y15" s="305">
        <f>PP!Y15</f>
        <v>55326</v>
      </c>
      <c r="Z15" s="306">
        <f>PP!Z15</f>
        <v>55326</v>
      </c>
      <c r="AA15" s="307">
        <f>PP!AA15</f>
        <v>3747.7044000000001</v>
      </c>
      <c r="AB15" s="320">
        <f>PP!AB15</f>
        <v>182.6388</v>
      </c>
      <c r="AC15" s="308">
        <f>PP!AC15</f>
        <v>3565.0655999999999</v>
      </c>
      <c r="AD15" s="322">
        <f>PP!AD15</f>
        <v>137.11790769230768</v>
      </c>
      <c r="AJ15" s="200" t="s">
        <v>373</v>
      </c>
      <c r="AK15" s="203">
        <f>PP!AK19</f>
        <v>30978</v>
      </c>
      <c r="AL15" s="204">
        <f>PP!AL19</f>
        <v>4117</v>
      </c>
      <c r="AM15" s="204">
        <f>PP!AM19</f>
        <v>34587</v>
      </c>
      <c r="AN15" s="398">
        <f>PP!AN19</f>
        <v>3079</v>
      </c>
      <c r="AO15" s="403">
        <f t="shared" ref="AO15:AO28" si="0">SUM(AK15:AN15)</f>
        <v>72761</v>
      </c>
    </row>
    <row r="16" spans="4:41" ht="15" customHeight="1" thickTop="1" thickBot="1" x14ac:dyDescent="0.35">
      <c r="D16" t="s">
        <v>80</v>
      </c>
      <c r="U16" s="303" t="str">
        <f>PP!U16</f>
        <v>Salaire admissible max. :</v>
      </c>
      <c r="V16" s="369">
        <f>PP!V16</f>
        <v>193715</v>
      </c>
      <c r="X16" s="304">
        <f>PP!X16</f>
        <v>6</v>
      </c>
      <c r="Y16" s="305">
        <f>PP!Y16</f>
        <v>56550</v>
      </c>
      <c r="Z16" s="306">
        <f>PP!Z16</f>
        <v>56550</v>
      </c>
      <c r="AA16" s="307">
        <f>PP!AA16</f>
        <v>3866.31</v>
      </c>
      <c r="AB16" s="320">
        <f>PP!AB16</f>
        <v>162.81</v>
      </c>
      <c r="AC16" s="308">
        <f>PP!AC16</f>
        <v>3703.5</v>
      </c>
      <c r="AD16" s="322">
        <f>PP!AD16</f>
        <v>142.44230769230768</v>
      </c>
      <c r="AJ16" s="200" t="s">
        <v>374</v>
      </c>
      <c r="AK16" s="205">
        <f>PP!AK20</f>
        <v>0</v>
      </c>
      <c r="AL16" s="204">
        <f>PP!AL20</f>
        <v>222</v>
      </c>
      <c r="AM16" s="204">
        <f>PP!AM20</f>
        <v>26320</v>
      </c>
      <c r="AN16" s="398">
        <f>PP!AN20</f>
        <v>5600</v>
      </c>
      <c r="AO16" s="403">
        <f t="shared" si="0"/>
        <v>32142</v>
      </c>
    </row>
    <row r="17" spans="4:58" ht="15" customHeight="1" thickTop="1" thickBot="1" x14ac:dyDescent="0.35">
      <c r="D17" s="142" t="s">
        <v>81</v>
      </c>
      <c r="E17" s="149">
        <v>33.6</v>
      </c>
      <c r="U17" s="309" t="str">
        <f>PP!U17</f>
        <v>Taux d'intérêt :</v>
      </c>
      <c r="V17" s="370">
        <f>PP!V17</f>
        <v>7.7299999999999994E-2</v>
      </c>
      <c r="X17" s="304">
        <f>PP!X17</f>
        <v>7</v>
      </c>
      <c r="Y17" s="305">
        <f>PP!Y17</f>
        <v>57804</v>
      </c>
      <c r="Z17" s="306">
        <f>PP!Z17</f>
        <v>57804</v>
      </c>
      <c r="AA17" s="307">
        <f>PP!AA17</f>
        <v>3987.8226</v>
      </c>
      <c r="AB17" s="320">
        <f>PP!AB17</f>
        <v>142.49519999999998</v>
      </c>
      <c r="AC17" s="308">
        <f>PP!AC17</f>
        <v>3845.3274000000001</v>
      </c>
      <c r="AD17" s="322">
        <f>PP!AD17</f>
        <v>147.89720769230769</v>
      </c>
      <c r="AJ17" s="200" t="s">
        <v>375</v>
      </c>
      <c r="AK17" s="205">
        <f>PP!AK21</f>
        <v>0</v>
      </c>
      <c r="AL17" s="206">
        <f>PP!AL21</f>
        <v>10</v>
      </c>
      <c r="AM17" s="204">
        <f>PP!AM21</f>
        <v>9388</v>
      </c>
      <c r="AN17" s="398">
        <f>PP!AN21</f>
        <v>4949</v>
      </c>
      <c r="AO17" s="403">
        <f t="shared" si="0"/>
        <v>14347</v>
      </c>
    </row>
    <row r="18" spans="4:58" ht="15" customHeight="1" thickTop="1" thickBot="1" x14ac:dyDescent="0.35">
      <c r="D18" s="143" t="s">
        <v>3</v>
      </c>
      <c r="E18" s="150">
        <v>70000</v>
      </c>
      <c r="K18" t="s">
        <v>194</v>
      </c>
      <c r="X18" s="304">
        <f>PP!X18</f>
        <v>8</v>
      </c>
      <c r="Y18" s="305">
        <f>PP!Y18</f>
        <v>60263</v>
      </c>
      <c r="Z18" s="306">
        <f>PP!Z18</f>
        <v>60263</v>
      </c>
      <c r="AA18" s="307">
        <f>PP!AA18</f>
        <v>4226.0996999999998</v>
      </c>
      <c r="AB18" s="320">
        <f>PP!AB18</f>
        <v>102.65939999999999</v>
      </c>
      <c r="AC18" s="308">
        <f>PP!AC18</f>
        <v>4123.4403000000002</v>
      </c>
      <c r="AD18" s="322">
        <f>PP!AD18</f>
        <v>158.59385769230769</v>
      </c>
      <c r="AJ18" s="200" t="s">
        <v>376</v>
      </c>
      <c r="AK18" s="205">
        <f>PP!AK22</f>
        <v>11</v>
      </c>
      <c r="AL18" s="206">
        <f>PP!AL22</f>
        <v>1</v>
      </c>
      <c r="AM18" s="204">
        <f>PP!AM22</f>
        <v>3457</v>
      </c>
      <c r="AN18" s="399">
        <f>PP!AN22</f>
        <v>911</v>
      </c>
      <c r="AO18" s="403">
        <f t="shared" si="0"/>
        <v>4380</v>
      </c>
    </row>
    <row r="19" spans="4:58" ht="15" customHeight="1" thickTop="1" thickBot="1" x14ac:dyDescent="0.35">
      <c r="D19" s="144" t="s">
        <v>82</v>
      </c>
      <c r="E19" s="145">
        <f>2%*E18*E17</f>
        <v>47040</v>
      </c>
      <c r="X19" s="304">
        <f>PP!X19</f>
        <v>9</v>
      </c>
      <c r="Y19" s="305">
        <f>PP!Y19</f>
        <v>62823</v>
      </c>
      <c r="Z19" s="306">
        <f>PP!Z19</f>
        <v>62823</v>
      </c>
      <c r="AA19" s="307">
        <f>PP!AA19</f>
        <v>4474.1637000000001</v>
      </c>
      <c r="AB19" s="320">
        <f>PP!AB19</f>
        <v>61.187399999999997</v>
      </c>
      <c r="AC19" s="308">
        <f>PP!AC19</f>
        <v>4412.9763000000003</v>
      </c>
      <c r="AD19" s="322">
        <f>PP!AD19</f>
        <v>169.72985769230769</v>
      </c>
      <c r="AJ19" s="200" t="s">
        <v>377</v>
      </c>
      <c r="AK19" s="203">
        <f>PP!AK23</f>
        <v>2028</v>
      </c>
      <c r="AL19" s="204">
        <f>PP!AL23</f>
        <v>1633</v>
      </c>
      <c r="AM19" s="204">
        <f>PP!AM23</f>
        <v>2825</v>
      </c>
      <c r="AN19" s="399">
        <f>PP!AN23</f>
        <v>498</v>
      </c>
      <c r="AO19" s="403">
        <f t="shared" si="0"/>
        <v>6984</v>
      </c>
    </row>
    <row r="20" spans="4:58" ht="15" customHeight="1" thickTop="1" thickBot="1" x14ac:dyDescent="0.35">
      <c r="L20" s="175">
        <v>2024</v>
      </c>
      <c r="M20" s="176">
        <v>2025</v>
      </c>
      <c r="X20" s="310">
        <f>PP!X20</f>
        <v>10</v>
      </c>
      <c r="Y20" s="311">
        <f>PP!Y20</f>
        <v>65493</v>
      </c>
      <c r="Z20" s="312">
        <f>PP!Z20</f>
        <v>65493</v>
      </c>
      <c r="AA20" s="313">
        <f>PP!AA20</f>
        <v>4732.8867</v>
      </c>
      <c r="AB20" s="321">
        <f>PP!AB20</f>
        <v>17.933399999999999</v>
      </c>
      <c r="AC20" s="314">
        <f>PP!AC20</f>
        <v>4714.9533000000001</v>
      </c>
      <c r="AD20" s="322">
        <f>PP!AD20</f>
        <v>181.34435769230771</v>
      </c>
      <c r="AJ20" s="200" t="s">
        <v>378</v>
      </c>
      <c r="AK20" s="205">
        <f>PP!AK24</f>
        <v>0</v>
      </c>
      <c r="AL20" s="206">
        <f>PP!AL24</f>
        <v>0</v>
      </c>
      <c r="AM20" s="206">
        <f>PP!AM24</f>
        <v>109</v>
      </c>
      <c r="AN20" s="399">
        <f>PP!AN24</f>
        <v>3</v>
      </c>
      <c r="AO20" s="404">
        <f t="shared" si="0"/>
        <v>112</v>
      </c>
    </row>
    <row r="21" spans="4:58" ht="15.6" thickTop="1" thickBot="1" x14ac:dyDescent="0.35">
      <c r="D21" s="142" t="s">
        <v>83</v>
      </c>
      <c r="E21" s="149">
        <v>6</v>
      </c>
      <c r="H21" s="79" t="str">
        <f>H6</f>
        <v>2023 MPE</v>
      </c>
      <c r="I21" s="371" t="str">
        <f>I6</f>
        <v>$64,900.00</v>
      </c>
      <c r="K21" s="79" t="s">
        <v>272</v>
      </c>
      <c r="L21" s="177">
        <v>0.04</v>
      </c>
      <c r="M21" s="178">
        <v>0.04</v>
      </c>
      <c r="X21" s="304">
        <f>PP!X21</f>
        <v>11</v>
      </c>
      <c r="Y21" s="305">
        <f>PP!Y21</f>
        <v>68720</v>
      </c>
      <c r="Z21" s="306">
        <f>PP!Z21</f>
        <v>68720</v>
      </c>
      <c r="AA21" s="307">
        <f>PP!AA21</f>
        <v>5045.5829999999996</v>
      </c>
      <c r="AB21" s="320">
        <f>PP!AB21</f>
        <v>0</v>
      </c>
      <c r="AC21" s="308">
        <f>PP!AC21</f>
        <v>5045.5829999999996</v>
      </c>
      <c r="AD21" s="322">
        <f>PP!AD21</f>
        <v>194.06088461538459</v>
      </c>
      <c r="AJ21" s="200" t="s">
        <v>379</v>
      </c>
      <c r="AK21" s="203">
        <f>PP!AK25</f>
        <v>5791</v>
      </c>
      <c r="AL21" s="206">
        <f>PP!AL25</f>
        <v>277</v>
      </c>
      <c r="AM21" s="204">
        <f>PP!AM25</f>
        <v>5284</v>
      </c>
      <c r="AN21" s="399">
        <f>PP!AN25</f>
        <v>947</v>
      </c>
      <c r="AO21" s="403">
        <f t="shared" si="0"/>
        <v>12299</v>
      </c>
      <c r="BE21" s="372"/>
      <c r="BF21" s="372"/>
    </row>
    <row r="22" spans="4:58" ht="15.6" thickTop="1" thickBot="1" x14ac:dyDescent="0.35">
      <c r="D22" s="143" t="s">
        <v>84</v>
      </c>
      <c r="E22" s="151">
        <f>E21*0.5%</f>
        <v>0.03</v>
      </c>
      <c r="H22" s="373">
        <v>1.07</v>
      </c>
      <c r="I22" s="374" t="s">
        <v>273</v>
      </c>
      <c r="K22" s="75" t="s">
        <v>274</v>
      </c>
      <c r="L22" s="179" t="s">
        <v>275</v>
      </c>
      <c r="M22" s="180" t="s">
        <v>276</v>
      </c>
      <c r="X22" s="304">
        <f>PP!X22</f>
        <v>12</v>
      </c>
      <c r="Y22" s="305">
        <f>PP!Y22</f>
        <v>72150</v>
      </c>
      <c r="Z22" s="306">
        <f>PP!Z22</f>
        <v>72150</v>
      </c>
      <c r="AA22" s="307">
        <f>PP!AA22</f>
        <v>5377.95</v>
      </c>
      <c r="AB22" s="320">
        <f>PP!AB22</f>
        <v>0</v>
      </c>
      <c r="AC22" s="308">
        <f>PP!AC22</f>
        <v>5377.95</v>
      </c>
      <c r="AD22" s="322">
        <f>PP!AD22</f>
        <v>206.84423076923076</v>
      </c>
      <c r="AJ22" s="200" t="s">
        <v>380</v>
      </c>
      <c r="AK22" s="203">
        <f>PP!AK26</f>
        <v>4033</v>
      </c>
      <c r="AL22" s="204">
        <f>PP!AL26</f>
        <v>3078</v>
      </c>
      <c r="AM22" s="204">
        <f>PP!AM26</f>
        <v>2084</v>
      </c>
      <c r="AN22" s="399">
        <f>PP!AN26</f>
        <v>290</v>
      </c>
      <c r="AO22" s="403">
        <f t="shared" si="0"/>
        <v>9485</v>
      </c>
      <c r="BE22" s="375"/>
      <c r="BF22" s="376" t="s">
        <v>277</v>
      </c>
    </row>
    <row r="23" spans="4:58" ht="15.6" thickTop="1" thickBot="1" x14ac:dyDescent="0.35">
      <c r="D23" s="144" t="s">
        <v>85</v>
      </c>
      <c r="E23" s="145">
        <f>E19-(E19*E22)</f>
        <v>45628.800000000003</v>
      </c>
      <c r="H23" s="377">
        <v>1.1399999999999999</v>
      </c>
      <c r="I23" s="378" t="s">
        <v>278</v>
      </c>
      <c r="K23" s="75" t="s">
        <v>279</v>
      </c>
      <c r="L23" s="167" t="s">
        <v>280</v>
      </c>
      <c r="M23" s="169" t="s">
        <v>281</v>
      </c>
      <c r="X23" s="304">
        <f>PP!X23</f>
        <v>13</v>
      </c>
      <c r="Y23" s="305">
        <f>PP!Y23</f>
        <v>75745</v>
      </c>
      <c r="Z23" s="306">
        <f>PP!Z23</f>
        <v>75745</v>
      </c>
      <c r="AA23" s="307">
        <f>PP!AA23</f>
        <v>5726.3055000000004</v>
      </c>
      <c r="AB23" s="320">
        <f>PP!AB23</f>
        <v>0</v>
      </c>
      <c r="AC23" s="308">
        <f>PP!AC23</f>
        <v>5726.3055000000004</v>
      </c>
      <c r="AD23" s="322">
        <f>PP!AD23</f>
        <v>220.24251923076923</v>
      </c>
      <c r="AJ23" s="200" t="s">
        <v>381</v>
      </c>
      <c r="AK23" s="205">
        <f>PP!AK27</f>
        <v>118</v>
      </c>
      <c r="AL23" s="206">
        <f>PP!AL27</f>
        <v>66</v>
      </c>
      <c r="AM23" s="206">
        <f>PP!AM27</f>
        <v>376</v>
      </c>
      <c r="AN23" s="399">
        <f>PP!AN27</f>
        <v>90</v>
      </c>
      <c r="AO23" s="404">
        <f t="shared" si="0"/>
        <v>650</v>
      </c>
      <c r="BE23" s="375"/>
      <c r="BF23" s="376" t="s">
        <v>282</v>
      </c>
    </row>
    <row r="24" spans="4:58" ht="15.6" thickTop="1" thickBot="1" x14ac:dyDescent="0.35">
      <c r="K24" s="76" t="s">
        <v>201</v>
      </c>
      <c r="L24" s="170" t="s">
        <v>283</v>
      </c>
      <c r="M24" s="172" t="s">
        <v>284</v>
      </c>
      <c r="X24" s="304">
        <f>PP!X24</f>
        <v>14</v>
      </c>
      <c r="Y24" s="305">
        <f>PP!Y24</f>
        <v>79522</v>
      </c>
      <c r="Z24" s="306">
        <f>PP!Z24</f>
        <v>79522</v>
      </c>
      <c r="AA24" s="307">
        <f>PP!AA24</f>
        <v>6092.2968000000001</v>
      </c>
      <c r="AB24" s="320">
        <f>PP!AB24</f>
        <v>0</v>
      </c>
      <c r="AC24" s="308">
        <f>PP!AC24</f>
        <v>6092.2968000000001</v>
      </c>
      <c r="AD24" s="322">
        <f>PP!AD24</f>
        <v>234.31910769230768</v>
      </c>
      <c r="AJ24" s="200" t="s">
        <v>382</v>
      </c>
      <c r="AK24" s="205">
        <f>PP!AK28</f>
        <v>354</v>
      </c>
      <c r="AL24" s="206">
        <f>PP!AL28</f>
        <v>10</v>
      </c>
      <c r="AM24" s="206">
        <f>PP!AM28</f>
        <v>271</v>
      </c>
      <c r="AN24" s="399">
        <f>PP!AN28</f>
        <v>136</v>
      </c>
      <c r="AO24" s="404">
        <f t="shared" si="0"/>
        <v>771</v>
      </c>
      <c r="BE24" s="375"/>
      <c r="BF24" s="376" t="s">
        <v>285</v>
      </c>
    </row>
    <row r="25" spans="4:58" ht="15.6" thickTop="1" thickBot="1" x14ac:dyDescent="0.35">
      <c r="I25" s="379">
        <f>107%*MGA</f>
        <v>71262</v>
      </c>
      <c r="X25" s="304">
        <f>PP!X25</f>
        <v>15</v>
      </c>
      <c r="Y25" s="305">
        <f>PP!Y25</f>
        <v>83480</v>
      </c>
      <c r="Z25" s="306">
        <f>PP!Z25</f>
        <v>83480</v>
      </c>
      <c r="AA25" s="307">
        <f>PP!AA25</f>
        <v>6475.8270000000002</v>
      </c>
      <c r="AB25" s="320">
        <f>PP!AB25</f>
        <v>0</v>
      </c>
      <c r="AC25" s="308">
        <f>PP!AC25</f>
        <v>6475.8270000000002</v>
      </c>
      <c r="AD25" s="322">
        <f>PP!AD25</f>
        <v>249.07026923076924</v>
      </c>
      <c r="AJ25" s="200" t="s">
        <v>383</v>
      </c>
      <c r="AK25" s="205">
        <f>PP!AK29</f>
        <v>3</v>
      </c>
      <c r="AL25" s="206">
        <f>PP!AL29</f>
        <v>2</v>
      </c>
      <c r="AM25" s="206">
        <f>PP!AM29</f>
        <v>6</v>
      </c>
      <c r="AN25" s="399">
        <f>PP!AN29</f>
        <v>2</v>
      </c>
      <c r="AO25" s="404">
        <f t="shared" si="0"/>
        <v>13</v>
      </c>
      <c r="BE25" s="375" t="s">
        <v>286</v>
      </c>
      <c r="BF25" s="376" t="s">
        <v>287</v>
      </c>
    </row>
    <row r="26" spans="4:58" ht="15.6" thickTop="1" thickBot="1" x14ac:dyDescent="0.35">
      <c r="D26" t="s">
        <v>86</v>
      </c>
      <c r="I26" s="364">
        <f>114%*MGA</f>
        <v>75924</v>
      </c>
      <c r="L26" s="380">
        <f>PP!L16</f>
        <v>4662</v>
      </c>
      <c r="M26" s="381">
        <f>PP!M16</f>
        <v>9324</v>
      </c>
      <c r="X26" s="304">
        <f>PP!X26</f>
        <v>16</v>
      </c>
      <c r="Y26" s="305">
        <f>PP!Y26</f>
        <v>87647</v>
      </c>
      <c r="Z26" s="306">
        <f>PP!Z26</f>
        <v>87647</v>
      </c>
      <c r="AA26" s="307">
        <f>PP!AA26</f>
        <v>6879.6093000000001</v>
      </c>
      <c r="AB26" s="320">
        <f>PP!AB26</f>
        <v>0</v>
      </c>
      <c r="AC26" s="308">
        <f>PP!AC26</f>
        <v>6879.6093000000001</v>
      </c>
      <c r="AD26" s="322">
        <f>PP!AD26</f>
        <v>264.60035769230768</v>
      </c>
      <c r="AJ26" s="200" t="s">
        <v>384</v>
      </c>
      <c r="AK26" s="205">
        <f>PP!AK30</f>
        <v>0</v>
      </c>
      <c r="AL26" s="206">
        <f>PP!AL30</f>
        <v>0</v>
      </c>
      <c r="AM26" s="206">
        <f>PP!AM30</f>
        <v>3</v>
      </c>
      <c r="AN26" s="399">
        <f>PP!AN30</f>
        <v>0</v>
      </c>
      <c r="AO26" s="404">
        <f t="shared" si="0"/>
        <v>3</v>
      </c>
      <c r="BE26" s="375" t="s">
        <v>288</v>
      </c>
      <c r="BF26" s="376" t="s">
        <v>289</v>
      </c>
    </row>
    <row r="27" spans="4:58" ht="15" thickTop="1" x14ac:dyDescent="0.3">
      <c r="D27" s="142" t="s">
        <v>70</v>
      </c>
      <c r="E27" s="317">
        <f>MGA</f>
        <v>66600</v>
      </c>
      <c r="L27" s="382">
        <f>PP!L17</f>
        <v>186.48</v>
      </c>
      <c r="M27" s="383">
        <f>PP!M17</f>
        <v>372.96</v>
      </c>
      <c r="X27" s="304">
        <f>PP!X27</f>
        <v>17</v>
      </c>
      <c r="Y27" s="305">
        <f>PP!Y27</f>
        <v>92027</v>
      </c>
      <c r="Z27" s="306">
        <f>PP!Z27</f>
        <v>92027</v>
      </c>
      <c r="AA27" s="307">
        <f>PP!AA27</f>
        <v>7304.0312999999996</v>
      </c>
      <c r="AB27" s="320">
        <f>PP!AB27</f>
        <v>0</v>
      </c>
      <c r="AC27" s="308">
        <f>PP!AC27</f>
        <v>7304.0312999999996</v>
      </c>
      <c r="AD27" s="322">
        <f>PP!AD27</f>
        <v>280.92428076923073</v>
      </c>
      <c r="AJ27" s="200" t="s">
        <v>385</v>
      </c>
      <c r="AK27" s="205">
        <f>PP!AK31</f>
        <v>0</v>
      </c>
      <c r="AL27" s="206">
        <f>PP!AL31</f>
        <v>3</v>
      </c>
      <c r="AM27" s="206">
        <f>PP!AM31</f>
        <v>70</v>
      </c>
      <c r="AN27" s="399">
        <f>PP!AN31</f>
        <v>18</v>
      </c>
      <c r="AO27" s="404">
        <f t="shared" si="0"/>
        <v>91</v>
      </c>
      <c r="BE27" s="375" t="s">
        <v>290</v>
      </c>
      <c r="BF27" s="376" t="s">
        <v>291</v>
      </c>
    </row>
    <row r="28" spans="4:58" ht="15" thickBot="1" x14ac:dyDescent="0.35">
      <c r="D28" s="143" t="s">
        <v>87</v>
      </c>
      <c r="E28" s="153">
        <v>3500</v>
      </c>
      <c r="L28" s="384">
        <f>PP!L18</f>
        <v>4067.13</v>
      </c>
      <c r="M28" s="385">
        <f>PP!M18</f>
        <v>4411.3599999999997</v>
      </c>
      <c r="X28" s="304">
        <f>PP!X28</f>
        <v>18</v>
      </c>
      <c r="Y28" s="305">
        <f>PP!Y28</f>
        <v>93527</v>
      </c>
      <c r="Z28" s="306">
        <f>PP!Z28</f>
        <v>93527</v>
      </c>
      <c r="AA28" s="307">
        <f>PP!AA28</f>
        <v>7449.3813</v>
      </c>
      <c r="AB28" s="320">
        <f>PP!AB28</f>
        <v>0</v>
      </c>
      <c r="AC28" s="308">
        <f>PP!AC28</f>
        <v>7449.3813</v>
      </c>
      <c r="AD28" s="322">
        <f>PP!AD28</f>
        <v>286.5146653846154</v>
      </c>
      <c r="AJ28" s="200" t="s">
        <v>386</v>
      </c>
      <c r="AK28" s="207">
        <f>PP!AK32</f>
        <v>53</v>
      </c>
      <c r="AL28" s="208">
        <f>PP!AL32</f>
        <v>7</v>
      </c>
      <c r="AM28" s="208">
        <f>PP!AM32</f>
        <v>248</v>
      </c>
      <c r="AN28" s="400">
        <f>PP!AN32</f>
        <v>27</v>
      </c>
      <c r="AO28" s="405">
        <f t="shared" si="0"/>
        <v>335</v>
      </c>
      <c r="BE28" s="375" t="s">
        <v>292</v>
      </c>
      <c r="BF28" s="376" t="s">
        <v>293</v>
      </c>
    </row>
    <row r="29" spans="4:58" ht="15.6" thickTop="1" thickBot="1" x14ac:dyDescent="0.35">
      <c r="D29" s="143" t="s">
        <v>88</v>
      </c>
      <c r="E29" s="146">
        <f>E27-E28</f>
        <v>63100</v>
      </c>
      <c r="X29" s="304">
        <f>PP!X29</f>
        <v>19</v>
      </c>
      <c r="Y29" s="305">
        <f>PP!Y29</f>
        <v>95051</v>
      </c>
      <c r="Z29" s="306">
        <f>PP!Z29</f>
        <v>95051</v>
      </c>
      <c r="AA29" s="307">
        <f>PP!AA29</f>
        <v>7597.0568999999996</v>
      </c>
      <c r="AB29" s="320">
        <f>PP!AB29</f>
        <v>0</v>
      </c>
      <c r="AC29" s="308">
        <f>PP!AC29</f>
        <v>7597.0568999999996</v>
      </c>
      <c r="AD29" s="322">
        <f>PP!AD29</f>
        <v>292.19449615384616</v>
      </c>
      <c r="AJ29" s="209" t="s">
        <v>125</v>
      </c>
      <c r="AK29" s="210">
        <f>SUM(AK14:AK28)</f>
        <v>656640</v>
      </c>
      <c r="AL29" s="211">
        <f t="shared" ref="AL29:AO29" si="1">SUM(AL14:AL28)</f>
        <v>554164</v>
      </c>
      <c r="AM29" s="211">
        <f t="shared" si="1"/>
        <v>404509</v>
      </c>
      <c r="AN29" s="401">
        <f t="shared" si="1"/>
        <v>38385</v>
      </c>
      <c r="AO29" s="406">
        <f t="shared" si="1"/>
        <v>1653698</v>
      </c>
      <c r="BE29" s="375" t="s">
        <v>294</v>
      </c>
      <c r="BF29" s="376" t="s">
        <v>295</v>
      </c>
    </row>
    <row r="30" spans="4:58" ht="15.6" thickTop="1" thickBot="1" x14ac:dyDescent="0.35">
      <c r="D30" s="143" t="s">
        <v>73</v>
      </c>
      <c r="E30" s="147">
        <v>5.8999999999999997E-2</v>
      </c>
      <c r="X30" s="310">
        <f>PP!X30</f>
        <v>20</v>
      </c>
      <c r="Y30" s="311">
        <f>PP!Y30</f>
        <v>96600</v>
      </c>
      <c r="Z30" s="312">
        <f>PP!Z30</f>
        <v>96600</v>
      </c>
      <c r="AA30" s="313">
        <f>PP!AA30</f>
        <v>7747.1549999999997</v>
      </c>
      <c r="AB30" s="321">
        <f>PP!AB30</f>
        <v>0</v>
      </c>
      <c r="AC30" s="314">
        <f>PP!AC30</f>
        <v>7747.1549999999997</v>
      </c>
      <c r="AD30" s="322">
        <f>PP!AD30</f>
        <v>297.96749999999997</v>
      </c>
      <c r="BE30" s="375" t="s">
        <v>296</v>
      </c>
      <c r="BF30" s="376" t="s">
        <v>297</v>
      </c>
    </row>
    <row r="31" spans="4:58" ht="15.6" thickTop="1" thickBot="1" x14ac:dyDescent="0.35">
      <c r="D31" s="144" t="s">
        <v>89</v>
      </c>
      <c r="E31" s="145">
        <f>E30*E29</f>
        <v>3722.8999999999996</v>
      </c>
      <c r="X31" t="str">
        <f>PP!X31</f>
        <v>La réduction est compensée par le Gouvernement</v>
      </c>
      <c r="BE31" s="375"/>
      <c r="BF31" s="376" t="s">
        <v>298</v>
      </c>
    </row>
    <row r="32" spans="4:58" ht="15.6" thickTop="1" thickBot="1" x14ac:dyDescent="0.35">
      <c r="U32" t="s">
        <v>209</v>
      </c>
      <c r="BE32" s="375"/>
      <c r="BF32" s="376" t="s">
        <v>299</v>
      </c>
    </row>
    <row r="33" spans="2:58" ht="15.6" thickTop="1" thickBot="1" x14ac:dyDescent="0.35">
      <c r="D33" t="s">
        <v>90</v>
      </c>
      <c r="U33" s="42" t="s">
        <v>210</v>
      </c>
      <c r="V33" s="315">
        <f>PP!V34</f>
        <v>0</v>
      </c>
      <c r="BE33" s="375"/>
      <c r="BF33" s="376" t="s">
        <v>299</v>
      </c>
    </row>
    <row r="34" spans="2:58" ht="15.6" thickTop="1" thickBot="1" x14ac:dyDescent="0.35">
      <c r="D34" t="s">
        <v>91</v>
      </c>
      <c r="BE34" s="372"/>
      <c r="BF34" s="372"/>
    </row>
    <row r="35" spans="2:58" ht="15.6" thickTop="1" thickBot="1" x14ac:dyDescent="0.35">
      <c r="D35" s="212" t="s">
        <v>31</v>
      </c>
      <c r="E35" s="213" t="s">
        <v>24</v>
      </c>
      <c r="AK35" t="s">
        <v>300</v>
      </c>
    </row>
    <row r="36" spans="2:58" ht="15.75" customHeight="1" thickTop="1" thickBot="1" x14ac:dyDescent="0.35">
      <c r="D36" s="181">
        <v>2021</v>
      </c>
      <c r="E36" s="182">
        <v>61600</v>
      </c>
      <c r="AJ36" s="199"/>
      <c r="AK36" s="214">
        <v>1980</v>
      </c>
      <c r="AL36" s="215">
        <v>1990</v>
      </c>
      <c r="AM36" s="215">
        <v>2000</v>
      </c>
      <c r="AN36" s="215">
        <v>2010</v>
      </c>
      <c r="AO36" s="215">
        <v>2020</v>
      </c>
      <c r="AP36" s="215">
        <v>2030</v>
      </c>
      <c r="AQ36" s="216">
        <v>2040</v>
      </c>
    </row>
    <row r="37" spans="2:58" ht="15" thickTop="1" x14ac:dyDescent="0.3">
      <c r="D37" s="183">
        <v>2020</v>
      </c>
      <c r="E37" s="184">
        <v>58700</v>
      </c>
      <c r="AJ37" s="219" t="s">
        <v>301</v>
      </c>
      <c r="AK37" s="220">
        <f>PP!AK41</f>
        <v>0</v>
      </c>
      <c r="AL37" s="221">
        <f>PP!AL41</f>
        <v>0</v>
      </c>
      <c r="AM37" s="221">
        <f>PP!AM41</f>
        <v>0</v>
      </c>
      <c r="AN37" s="221">
        <f>PP!AN41</f>
        <v>0</v>
      </c>
      <c r="AO37" s="221">
        <f>PP!AO41</f>
        <v>0</v>
      </c>
      <c r="AP37" s="221">
        <f>PP!AP41</f>
        <v>0</v>
      </c>
      <c r="AQ37" s="222">
        <f>PP!AQ41</f>
        <v>0</v>
      </c>
    </row>
    <row r="38" spans="2:58" ht="15.75" customHeight="1" x14ac:dyDescent="0.3">
      <c r="D38" s="183">
        <v>2019</v>
      </c>
      <c r="E38" s="184">
        <v>57400</v>
      </c>
      <c r="AJ38" s="226" t="s">
        <v>302</v>
      </c>
      <c r="AK38" s="227">
        <f>PP!AK42</f>
        <v>0</v>
      </c>
      <c r="AL38" s="228">
        <f>PP!AL42</f>
        <v>0</v>
      </c>
      <c r="AM38" s="228">
        <f>PP!AM42</f>
        <v>0</v>
      </c>
      <c r="AN38" s="228">
        <f>PP!AN42</f>
        <v>0</v>
      </c>
      <c r="AO38" s="228">
        <f>PP!AO42</f>
        <v>0</v>
      </c>
      <c r="AP38" s="228">
        <f>PP!AP42</f>
        <v>0</v>
      </c>
      <c r="AQ38" s="229">
        <f>PP!AQ42</f>
        <v>0</v>
      </c>
    </row>
    <row r="39" spans="2:58" x14ac:dyDescent="0.3">
      <c r="D39" s="183">
        <v>2018</v>
      </c>
      <c r="E39" s="184">
        <v>55900</v>
      </c>
      <c r="AJ39" s="226" t="s">
        <v>303</v>
      </c>
      <c r="AK39" s="227">
        <f>PP!AK43</f>
        <v>0</v>
      </c>
      <c r="AL39" s="232">
        <f>PP!AL43</f>
        <v>0</v>
      </c>
      <c r="AM39" s="232">
        <f>PP!AM43</f>
        <v>0</v>
      </c>
      <c r="AN39" s="232">
        <f>PP!AN43</f>
        <v>0</v>
      </c>
      <c r="AO39" s="232">
        <f>PP!AO43</f>
        <v>0</v>
      </c>
      <c r="AP39" s="232">
        <f>PP!AP43</f>
        <v>0</v>
      </c>
      <c r="AQ39" s="233">
        <f>PP!AQ43</f>
        <v>0</v>
      </c>
    </row>
    <row r="40" spans="2:58" ht="16.5" customHeight="1" thickBot="1" x14ac:dyDescent="0.35">
      <c r="D40" s="272">
        <v>2017</v>
      </c>
      <c r="E40" s="184">
        <v>55300</v>
      </c>
      <c r="AJ40" s="234" t="s">
        <v>304</v>
      </c>
      <c r="AK40" s="235" t="str">
        <f>PP!AK44</f>
        <v>Utilisation des surplus au RREGOP</v>
      </c>
      <c r="AL40" s="236">
        <f>PP!AL44</f>
        <v>0</v>
      </c>
      <c r="AM40" s="236">
        <f>PP!AM44</f>
        <v>0</v>
      </c>
      <c r="AN40" s="236">
        <f>PP!AN44</f>
        <v>0</v>
      </c>
      <c r="AO40" s="236">
        <f>PP!AO44</f>
        <v>0</v>
      </c>
      <c r="AP40" s="236">
        <f>PP!AP44</f>
        <v>0</v>
      </c>
      <c r="AQ40" s="237">
        <f>PP!AQ44</f>
        <v>0</v>
      </c>
    </row>
    <row r="41" spans="2:58" ht="15.6" thickTop="1" thickBot="1" x14ac:dyDescent="0.35">
      <c r="D41" s="273" t="s">
        <v>92</v>
      </c>
      <c r="E41" s="274">
        <f>AVERAGE(E36:E40)</f>
        <v>57780</v>
      </c>
    </row>
    <row r="42" spans="2:58" ht="15.75" customHeight="1" thickTop="1" thickBot="1" x14ac:dyDescent="0.35"/>
    <row r="43" spans="2:58" ht="15.6" thickTop="1" thickBot="1" x14ac:dyDescent="0.35">
      <c r="D43" s="142" t="s">
        <v>93</v>
      </c>
      <c r="E43" s="148">
        <v>7.0000000000000001E-3</v>
      </c>
    </row>
    <row r="44" spans="2:58" ht="15.6" thickTop="1" thickBot="1" x14ac:dyDescent="0.35">
      <c r="D44" s="143" t="s">
        <v>94</v>
      </c>
      <c r="E44" s="185">
        <v>35</v>
      </c>
      <c r="AJ44" s="199"/>
      <c r="AK44" s="217">
        <v>2014</v>
      </c>
      <c r="AL44" s="218">
        <v>2017</v>
      </c>
    </row>
    <row r="45" spans="2:58" ht="15.6" thickTop="1" thickBot="1" x14ac:dyDescent="0.35">
      <c r="D45" s="144" t="s">
        <v>84</v>
      </c>
      <c r="E45" s="145">
        <f>E43*E44*E41</f>
        <v>14156.1</v>
      </c>
      <c r="AJ45" s="223" t="s">
        <v>307</v>
      </c>
      <c r="AK45" s="224">
        <v>0.49</v>
      </c>
      <c r="AL45" s="225">
        <v>0.52</v>
      </c>
    </row>
    <row r="46" spans="2:58" ht="15.6" thickTop="1" thickBot="1" x14ac:dyDescent="0.35">
      <c r="AJ46" s="209" t="s">
        <v>308</v>
      </c>
      <c r="AK46" s="230">
        <v>2.2200000000000002</v>
      </c>
      <c r="AL46" s="231">
        <v>2.2999999999999998</v>
      </c>
    </row>
    <row r="47" spans="2:58" ht="15" thickTop="1" x14ac:dyDescent="0.3"/>
    <row r="48" spans="2:58" ht="15" thickBot="1" x14ac:dyDescent="0.35">
      <c r="B48" t="s">
        <v>112</v>
      </c>
      <c r="L48" t="s">
        <v>113</v>
      </c>
    </row>
    <row r="49" spans="2:37" ht="15.6" thickTop="1" thickBot="1" x14ac:dyDescent="0.35">
      <c r="B49" s="186" t="s">
        <v>31</v>
      </c>
      <c r="C49" s="187" t="s">
        <v>114</v>
      </c>
      <c r="L49" s="188" t="s">
        <v>31</v>
      </c>
      <c r="M49" s="189" t="s">
        <v>115</v>
      </c>
    </row>
    <row r="50" spans="2:37" ht="15" thickTop="1" x14ac:dyDescent="0.3">
      <c r="B50" s="190">
        <v>1973</v>
      </c>
      <c r="C50" s="191">
        <v>7.4999999999999997E-2</v>
      </c>
      <c r="L50" s="192">
        <v>1996</v>
      </c>
      <c r="M50" s="193">
        <v>19.8</v>
      </c>
    </row>
    <row r="51" spans="2:37" x14ac:dyDescent="0.3">
      <c r="B51" s="192">
        <v>1974</v>
      </c>
      <c r="C51" s="194">
        <v>7.4999999999999997E-2</v>
      </c>
      <c r="L51" s="192">
        <f>L50+1</f>
        <v>1997</v>
      </c>
      <c r="M51" s="193">
        <v>22.8</v>
      </c>
    </row>
    <row r="52" spans="2:37" x14ac:dyDescent="0.3">
      <c r="B52" s="192">
        <v>1975</v>
      </c>
      <c r="C52" s="194">
        <v>7.4999999999999997E-2</v>
      </c>
      <c r="L52" s="192">
        <f t="shared" ref="L52:L71" si="2">L51+1</f>
        <v>1998</v>
      </c>
      <c r="M52" s="193">
        <v>25.6</v>
      </c>
    </row>
    <row r="53" spans="2:37" x14ac:dyDescent="0.3">
      <c r="B53" s="192">
        <v>1976</v>
      </c>
      <c r="C53" s="194">
        <v>7.4999999999999997E-2</v>
      </c>
      <c r="L53" s="192">
        <f t="shared" si="2"/>
        <v>1999</v>
      </c>
      <c r="M53" s="193">
        <v>29.7</v>
      </c>
    </row>
    <row r="54" spans="2:37" x14ac:dyDescent="0.3">
      <c r="B54" s="192">
        <v>1977</v>
      </c>
      <c r="C54" s="194">
        <v>7.4999999999999997E-2</v>
      </c>
      <c r="L54" s="192">
        <f t="shared" si="2"/>
        <v>2000</v>
      </c>
      <c r="M54" s="193">
        <v>31.6</v>
      </c>
    </row>
    <row r="55" spans="2:37" x14ac:dyDescent="0.3">
      <c r="B55" s="192">
        <v>1978</v>
      </c>
      <c r="C55" s="194">
        <v>7.4999999999999997E-2</v>
      </c>
      <c r="L55" s="192">
        <f t="shared" si="2"/>
        <v>2001</v>
      </c>
      <c r="M55" s="193">
        <v>30</v>
      </c>
    </row>
    <row r="56" spans="2:37" x14ac:dyDescent="0.3">
      <c r="B56" s="192">
        <v>1979</v>
      </c>
      <c r="C56" s="194">
        <v>7.4999999999999997E-2</v>
      </c>
      <c r="L56" s="192">
        <f t="shared" si="2"/>
        <v>2002</v>
      </c>
      <c r="M56" s="193">
        <v>27.2</v>
      </c>
    </row>
    <row r="57" spans="2:37" x14ac:dyDescent="0.3">
      <c r="B57" s="192">
        <v>1980</v>
      </c>
      <c r="C57" s="194">
        <v>7.4999999999999997E-2</v>
      </c>
      <c r="L57" s="192">
        <f t="shared" si="2"/>
        <v>2003</v>
      </c>
      <c r="M57" s="193">
        <v>31</v>
      </c>
    </row>
    <row r="58" spans="2:37" x14ac:dyDescent="0.3">
      <c r="B58" s="192">
        <v>1981</v>
      </c>
      <c r="C58" s="194">
        <v>7.4999999999999997E-2</v>
      </c>
      <c r="L58" s="192">
        <f t="shared" si="2"/>
        <v>2004</v>
      </c>
      <c r="M58" s="193">
        <v>34.299999999999997</v>
      </c>
    </row>
    <row r="59" spans="2:37" x14ac:dyDescent="0.3">
      <c r="B59" s="192">
        <v>1982</v>
      </c>
      <c r="C59" s="194">
        <v>7.4999999999999997E-2</v>
      </c>
      <c r="L59" s="192">
        <f t="shared" si="2"/>
        <v>2005</v>
      </c>
      <c r="M59" s="193">
        <v>38.9</v>
      </c>
    </row>
    <row r="60" spans="2:37" x14ac:dyDescent="0.3">
      <c r="B60" s="192">
        <v>1983</v>
      </c>
      <c r="C60" s="194">
        <v>7.0999999999999994E-2</v>
      </c>
      <c r="L60" s="192">
        <f t="shared" si="2"/>
        <v>2006</v>
      </c>
      <c r="M60" s="193">
        <v>44.2</v>
      </c>
    </row>
    <row r="61" spans="2:37" x14ac:dyDescent="0.3">
      <c r="B61" s="192">
        <v>1984</v>
      </c>
      <c r="C61" s="194">
        <v>7.0000000000000007E-2</v>
      </c>
      <c r="L61" s="192">
        <f t="shared" si="2"/>
        <v>2007</v>
      </c>
      <c r="M61" s="193">
        <v>46.1</v>
      </c>
    </row>
    <row r="62" spans="2:37" x14ac:dyDescent="0.3">
      <c r="B62" s="192">
        <v>1985</v>
      </c>
      <c r="C62" s="194">
        <v>7.0000000000000007E-2</v>
      </c>
      <c r="L62" s="192">
        <f t="shared" si="2"/>
        <v>2008</v>
      </c>
      <c r="M62" s="193">
        <v>33.799999999999997</v>
      </c>
    </row>
    <row r="63" spans="2:37" x14ac:dyDescent="0.3">
      <c r="B63" s="192">
        <v>1986</v>
      </c>
      <c r="C63" s="194">
        <v>7.0000000000000007E-2</v>
      </c>
      <c r="L63" s="192">
        <f t="shared" si="2"/>
        <v>2009</v>
      </c>
      <c r="M63" s="193">
        <v>37.200000000000003</v>
      </c>
      <c r="AK63" t="s">
        <v>309</v>
      </c>
    </row>
    <row r="64" spans="2:37" ht="15" thickBot="1" x14ac:dyDescent="0.35">
      <c r="B64" s="192">
        <v>1987</v>
      </c>
      <c r="C64" s="194">
        <v>7.0000000000000007E-2</v>
      </c>
      <c r="L64" s="192">
        <f t="shared" si="2"/>
        <v>2010</v>
      </c>
      <c r="M64" s="193">
        <v>41.3</v>
      </c>
    </row>
    <row r="65" spans="2:38" ht="15" thickTop="1" x14ac:dyDescent="0.3">
      <c r="B65" s="192">
        <v>1988</v>
      </c>
      <c r="C65" s="194">
        <v>7.0000000000000007E-2</v>
      </c>
      <c r="L65" s="192">
        <f t="shared" si="2"/>
        <v>2011</v>
      </c>
      <c r="M65" s="193">
        <v>42</v>
      </c>
      <c r="AK65" s="592" t="s">
        <v>310</v>
      </c>
      <c r="AL65" s="594" t="s">
        <v>311</v>
      </c>
    </row>
    <row r="66" spans="2:38" ht="15" thickBot="1" x14ac:dyDescent="0.35">
      <c r="B66" s="192">
        <v>1989</v>
      </c>
      <c r="C66" s="194">
        <v>7.0000000000000007E-2</v>
      </c>
      <c r="L66" s="192">
        <f t="shared" si="2"/>
        <v>2012</v>
      </c>
      <c r="M66" s="193">
        <v>45.1</v>
      </c>
      <c r="AK66" s="593"/>
      <c r="AL66" s="595"/>
    </row>
    <row r="67" spans="2:38" ht="15" thickTop="1" x14ac:dyDescent="0.3">
      <c r="B67" s="192">
        <v>1990</v>
      </c>
      <c r="C67" s="194">
        <v>7.0000000000000007E-2</v>
      </c>
      <c r="L67" s="192">
        <f t="shared" si="2"/>
        <v>2013</v>
      </c>
      <c r="M67" s="193">
        <v>50.4</v>
      </c>
      <c r="AK67" s="596">
        <v>1.2</v>
      </c>
      <c r="AL67" s="594" t="s">
        <v>312</v>
      </c>
    </row>
    <row r="68" spans="2:38" ht="15" thickBot="1" x14ac:dyDescent="0.35">
      <c r="B68" s="192">
        <v>1991</v>
      </c>
      <c r="C68" s="194">
        <v>7.0000000000000007E-2</v>
      </c>
      <c r="L68" s="192">
        <f t="shared" si="2"/>
        <v>2014</v>
      </c>
      <c r="M68" s="193">
        <v>55.7</v>
      </c>
      <c r="AK68" s="597"/>
      <c r="AL68" s="595"/>
    </row>
    <row r="69" spans="2:38" ht="15" thickTop="1" x14ac:dyDescent="0.3">
      <c r="B69" s="192">
        <v>1992</v>
      </c>
      <c r="C69" s="194">
        <v>7.0000000000000007E-2</v>
      </c>
      <c r="L69" s="192">
        <f t="shared" si="2"/>
        <v>2015</v>
      </c>
      <c r="M69" s="193">
        <v>59.9</v>
      </c>
      <c r="AK69" s="598">
        <v>1.1000000000000001</v>
      </c>
      <c r="AL69" s="600" t="s">
        <v>313</v>
      </c>
    </row>
    <row r="70" spans="2:38" ht="15" thickBot="1" x14ac:dyDescent="0.35">
      <c r="B70" s="192">
        <v>1993</v>
      </c>
      <c r="C70" s="194">
        <v>7.6799999999999993E-2</v>
      </c>
      <c r="L70" s="192">
        <f t="shared" si="2"/>
        <v>2016</v>
      </c>
      <c r="M70" s="193">
        <v>63.6</v>
      </c>
      <c r="AK70" s="599"/>
      <c r="AL70" s="595"/>
    </row>
    <row r="71" spans="2:38" ht="15" thickTop="1" x14ac:dyDescent="0.3">
      <c r="B71" s="192">
        <v>1994</v>
      </c>
      <c r="C71" s="194">
        <v>7.6799999999999993E-2</v>
      </c>
      <c r="L71" s="192">
        <f t="shared" si="2"/>
        <v>2017</v>
      </c>
      <c r="M71" s="193">
        <v>68.5</v>
      </c>
      <c r="AK71" s="590" t="s">
        <v>314</v>
      </c>
    </row>
    <row r="72" spans="2:38" x14ac:dyDescent="0.3">
      <c r="B72" s="192">
        <v>1995</v>
      </c>
      <c r="C72" s="194">
        <v>7.6799999999999993E-2</v>
      </c>
      <c r="L72" s="192">
        <v>2018</v>
      </c>
      <c r="M72" s="193">
        <v>70.400000000000006</v>
      </c>
      <c r="AK72" s="590"/>
    </row>
    <row r="73" spans="2:38" x14ac:dyDescent="0.3">
      <c r="B73" s="192">
        <v>1996</v>
      </c>
      <c r="C73" s="194">
        <v>7.9500000000000001E-2</v>
      </c>
      <c r="L73" s="192">
        <v>2019</v>
      </c>
      <c r="M73" s="193">
        <v>76.8</v>
      </c>
      <c r="AK73" s="590"/>
    </row>
    <row r="74" spans="2:38" x14ac:dyDescent="0.3">
      <c r="B74" s="192">
        <v>1997</v>
      </c>
      <c r="C74" s="194">
        <v>7.9500000000000001E-2</v>
      </c>
      <c r="L74" s="192">
        <v>2020</v>
      </c>
      <c r="M74" s="193">
        <v>82.05</v>
      </c>
      <c r="AK74" s="590"/>
    </row>
    <row r="75" spans="2:38" ht="15" thickBot="1" x14ac:dyDescent="0.35">
      <c r="B75" s="192">
        <v>1998</v>
      </c>
      <c r="C75" s="194">
        <v>7.9500000000000001E-2</v>
      </c>
      <c r="L75" s="195">
        <v>2021</v>
      </c>
      <c r="M75" s="196">
        <v>91.09</v>
      </c>
      <c r="AK75" s="590"/>
    </row>
    <row r="76" spans="2:38" ht="15" thickTop="1" x14ac:dyDescent="0.3">
      <c r="B76" s="192">
        <v>1999</v>
      </c>
      <c r="C76" s="194">
        <v>7.9500000000000001E-2</v>
      </c>
      <c r="AK76" s="590"/>
    </row>
    <row r="77" spans="2:38" x14ac:dyDescent="0.3">
      <c r="B77" s="192">
        <v>2000</v>
      </c>
      <c r="C77" s="194">
        <v>5.3499999999999999E-2</v>
      </c>
      <c r="AK77" s="590"/>
    </row>
    <row r="78" spans="2:38" x14ac:dyDescent="0.3">
      <c r="B78" s="192">
        <v>2001</v>
      </c>
      <c r="C78" s="194">
        <v>5.3499999999999999E-2</v>
      </c>
      <c r="AK78" s="590"/>
    </row>
    <row r="79" spans="2:38" x14ac:dyDescent="0.3">
      <c r="B79" s="192">
        <v>2002</v>
      </c>
      <c r="C79" s="194">
        <v>5.3499999999999999E-2</v>
      </c>
      <c r="AK79" s="590"/>
    </row>
    <row r="80" spans="2:38" x14ac:dyDescent="0.3">
      <c r="B80" s="192">
        <v>2003</v>
      </c>
      <c r="C80" s="194">
        <v>5.3499999999999999E-2</v>
      </c>
      <c r="AK80" s="590"/>
    </row>
    <row r="81" spans="2:37" ht="15" thickBot="1" x14ac:dyDescent="0.35">
      <c r="B81" s="192">
        <v>2004</v>
      </c>
      <c r="C81" s="194">
        <v>5.3499999999999999E-2</v>
      </c>
      <c r="AK81" s="591"/>
    </row>
    <row r="82" spans="2:37" ht="15" thickTop="1" x14ac:dyDescent="0.3">
      <c r="B82" s="192">
        <v>2005</v>
      </c>
      <c r="C82" s="194">
        <v>7.0599999999999996E-2</v>
      </c>
    </row>
    <row r="83" spans="2:37" x14ac:dyDescent="0.3">
      <c r="B83" s="192">
        <v>2006</v>
      </c>
      <c r="C83" s="194">
        <v>7.0599999999999996E-2</v>
      </c>
      <c r="N83" t="s">
        <v>192</v>
      </c>
    </row>
    <row r="84" spans="2:37" ht="15" thickBot="1" x14ac:dyDescent="0.35">
      <c r="B84" s="192">
        <v>2007</v>
      </c>
      <c r="C84" s="194">
        <v>7.0599999999999996E-2</v>
      </c>
    </row>
    <row r="85" spans="2:37" ht="15.6" thickTop="1" thickBot="1" x14ac:dyDescent="0.35">
      <c r="B85" s="192">
        <v>2008</v>
      </c>
      <c r="C85" s="194">
        <v>8.1900000000000001E-2</v>
      </c>
      <c r="N85" s="238"/>
      <c r="O85" s="239" t="s">
        <v>149</v>
      </c>
      <c r="P85" s="238"/>
      <c r="Q85" s="240"/>
      <c r="R85" s="241" t="s">
        <v>149</v>
      </c>
      <c r="S85" s="242" t="s">
        <v>150</v>
      </c>
      <c r="T85" s="238"/>
      <c r="U85" s="240"/>
      <c r="V85" s="241" t="s">
        <v>149</v>
      </c>
      <c r="W85" s="243" t="s">
        <v>150</v>
      </c>
      <c r="X85" s="244" t="s">
        <v>315</v>
      </c>
    </row>
    <row r="86" spans="2:37" ht="16.2" thickTop="1" x14ac:dyDescent="0.3">
      <c r="B86" s="192">
        <v>2009</v>
      </c>
      <c r="C86" s="194">
        <v>8.1900000000000001E-2</v>
      </c>
      <c r="N86" s="386">
        <v>29952.75</v>
      </c>
      <c r="O86" s="246" t="s">
        <v>316</v>
      </c>
      <c r="P86" s="238"/>
      <c r="Q86" s="387">
        <v>36526.75</v>
      </c>
      <c r="R86" s="248" t="s">
        <v>317</v>
      </c>
      <c r="S86" s="249" t="s">
        <v>318</v>
      </c>
      <c r="T86" s="238"/>
      <c r="U86" s="388">
        <v>44927</v>
      </c>
      <c r="V86" s="269">
        <v>6.5000000000000002E-2</v>
      </c>
      <c r="W86" s="270">
        <v>3.5000000000000003E-2</v>
      </c>
      <c r="X86" s="271">
        <v>3.5000000000000003E-2</v>
      </c>
    </row>
    <row r="87" spans="2:37" ht="15.6" x14ac:dyDescent="0.3">
      <c r="B87" s="192">
        <v>2010</v>
      </c>
      <c r="C87" s="194">
        <v>8.1900000000000001E-2</v>
      </c>
      <c r="N87" s="387">
        <v>29587.75</v>
      </c>
      <c r="O87" s="251" t="s">
        <v>321</v>
      </c>
      <c r="P87" s="238"/>
      <c r="Q87" s="387">
        <v>36161.75</v>
      </c>
      <c r="R87" s="252" t="s">
        <v>322</v>
      </c>
      <c r="S87" s="253" t="s">
        <v>318</v>
      </c>
      <c r="T87" s="238"/>
      <c r="U87" s="388">
        <v>44562</v>
      </c>
      <c r="V87" s="354">
        <v>2.7E-2</v>
      </c>
      <c r="W87" s="410">
        <v>0</v>
      </c>
      <c r="X87" s="355">
        <v>1.35E-2</v>
      </c>
    </row>
    <row r="88" spans="2:37" ht="15.6" x14ac:dyDescent="0.3">
      <c r="B88" s="192">
        <v>2011</v>
      </c>
      <c r="C88" s="194">
        <v>8.6899999999999991E-2</v>
      </c>
      <c r="N88" s="387">
        <v>29221.75</v>
      </c>
      <c r="O88" s="251" t="s">
        <v>325</v>
      </c>
      <c r="P88" s="238"/>
      <c r="Q88" s="387">
        <v>35796.75</v>
      </c>
      <c r="R88" s="252" t="s">
        <v>326</v>
      </c>
      <c r="S88" s="253" t="s">
        <v>318</v>
      </c>
      <c r="T88" s="238"/>
      <c r="U88" s="388">
        <v>44197</v>
      </c>
      <c r="V88" s="266" t="s">
        <v>319</v>
      </c>
      <c r="W88" s="267" t="s">
        <v>318</v>
      </c>
      <c r="X88" s="268" t="s">
        <v>320</v>
      </c>
    </row>
    <row r="89" spans="2:37" ht="15.6" x14ac:dyDescent="0.3">
      <c r="B89" s="192">
        <v>2012</v>
      </c>
      <c r="C89" s="194">
        <v>8.9399999999999993E-2</v>
      </c>
      <c r="N89" s="387">
        <v>28856.75</v>
      </c>
      <c r="O89" s="251" t="s">
        <v>325</v>
      </c>
      <c r="P89" s="238"/>
      <c r="Q89" s="387">
        <v>35431.75</v>
      </c>
      <c r="R89" s="252" t="s">
        <v>329</v>
      </c>
      <c r="S89" s="253" t="s">
        <v>318</v>
      </c>
      <c r="T89" s="238"/>
      <c r="U89" s="388">
        <v>43831</v>
      </c>
      <c r="V89" s="266" t="s">
        <v>323</v>
      </c>
      <c r="W89" s="267" t="s">
        <v>318</v>
      </c>
      <c r="X89" s="268" t="s">
        <v>324</v>
      </c>
    </row>
    <row r="90" spans="2:37" ht="15.6" x14ac:dyDescent="0.3">
      <c r="B90" s="192">
        <v>2013</v>
      </c>
      <c r="C90" s="194">
        <v>9.1799999999999993E-2</v>
      </c>
      <c r="N90" s="387">
        <v>28491.75</v>
      </c>
      <c r="O90" s="251" t="s">
        <v>332</v>
      </c>
      <c r="P90" s="238"/>
      <c r="Q90" s="387">
        <v>35065.75</v>
      </c>
      <c r="R90" s="252" t="s">
        <v>333</v>
      </c>
      <c r="S90" s="253" t="s">
        <v>318</v>
      </c>
      <c r="T90" s="238"/>
      <c r="U90" s="387">
        <v>43466.25</v>
      </c>
      <c r="V90" s="254" t="s">
        <v>327</v>
      </c>
      <c r="W90" s="255" t="s">
        <v>318</v>
      </c>
      <c r="X90" s="256" t="s">
        <v>328</v>
      </c>
    </row>
    <row r="91" spans="2:37" ht="15.6" x14ac:dyDescent="0.3">
      <c r="B91" s="192">
        <v>2014</v>
      </c>
      <c r="C91" s="194">
        <v>9.8400000000000001E-2</v>
      </c>
      <c r="N91" s="387">
        <v>28126.75</v>
      </c>
      <c r="O91" s="251" t="s">
        <v>335</v>
      </c>
      <c r="P91" s="238"/>
      <c r="Q91" s="387">
        <v>34700.75</v>
      </c>
      <c r="R91" s="252" t="s">
        <v>318</v>
      </c>
      <c r="S91" s="253" t="s">
        <v>318</v>
      </c>
      <c r="T91" s="238"/>
      <c r="U91" s="387">
        <v>43101.5</v>
      </c>
      <c r="V91" s="254" t="s">
        <v>330</v>
      </c>
      <c r="W91" s="267" t="s">
        <v>318</v>
      </c>
      <c r="X91" s="256" t="s">
        <v>331</v>
      </c>
    </row>
    <row r="92" spans="2:37" ht="15.6" x14ac:dyDescent="0.3">
      <c r="B92" s="192">
        <v>2015</v>
      </c>
      <c r="C92" s="194">
        <v>0.105</v>
      </c>
      <c r="N92" s="387">
        <v>27760.75</v>
      </c>
      <c r="O92" s="251" t="s">
        <v>338</v>
      </c>
      <c r="P92" s="238"/>
      <c r="Q92" s="387">
        <v>34335.75</v>
      </c>
      <c r="R92" s="252" t="s">
        <v>326</v>
      </c>
      <c r="S92" s="253" t="s">
        <v>318</v>
      </c>
      <c r="T92" s="238"/>
      <c r="U92" s="387">
        <v>42736.75</v>
      </c>
      <c r="V92" s="254" t="s">
        <v>305</v>
      </c>
      <c r="W92" s="267" t="s">
        <v>318</v>
      </c>
      <c r="X92" s="256" t="s">
        <v>334</v>
      </c>
    </row>
    <row r="93" spans="2:37" ht="15.6" x14ac:dyDescent="0.3">
      <c r="B93" s="192">
        <v>2016</v>
      </c>
      <c r="C93" s="194">
        <v>0.11119999999999999</v>
      </c>
      <c r="N93" s="387">
        <v>27395.75</v>
      </c>
      <c r="O93" s="251" t="s">
        <v>340</v>
      </c>
      <c r="P93" s="238"/>
      <c r="Q93" s="387">
        <v>33970.75</v>
      </c>
      <c r="R93" s="252" t="s">
        <v>341</v>
      </c>
      <c r="S93" s="253" t="s">
        <v>318</v>
      </c>
      <c r="T93" s="238"/>
      <c r="U93" s="387">
        <v>42370</v>
      </c>
      <c r="V93" s="254" t="s">
        <v>336</v>
      </c>
      <c r="W93" s="267" t="s">
        <v>318</v>
      </c>
      <c r="X93" s="256" t="s">
        <v>337</v>
      </c>
    </row>
    <row r="94" spans="2:37" ht="16.2" thickBot="1" x14ac:dyDescent="0.35">
      <c r="B94" s="192">
        <v>2017</v>
      </c>
      <c r="C94" s="194">
        <v>0.1105</v>
      </c>
      <c r="N94" s="389">
        <v>27030.75</v>
      </c>
      <c r="O94" s="258" t="s">
        <v>335</v>
      </c>
      <c r="P94" s="238"/>
      <c r="Q94" s="387">
        <v>33604.75</v>
      </c>
      <c r="R94" s="252" t="s">
        <v>343</v>
      </c>
      <c r="S94" s="253" t="s">
        <v>344</v>
      </c>
      <c r="T94" s="238"/>
      <c r="U94" s="387">
        <v>42005.25</v>
      </c>
      <c r="V94" s="254" t="s">
        <v>306</v>
      </c>
      <c r="W94" s="267" t="s">
        <v>318</v>
      </c>
      <c r="X94" s="256" t="s">
        <v>339</v>
      </c>
    </row>
    <row r="95" spans="2:37" ht="16.2" thickTop="1" x14ac:dyDescent="0.3">
      <c r="B95" s="192">
        <v>2018</v>
      </c>
      <c r="C95" s="194">
        <v>0.10970000000000001</v>
      </c>
      <c r="N95" s="238"/>
      <c r="O95" s="238"/>
      <c r="P95" s="238"/>
      <c r="Q95" s="387">
        <v>33239.75</v>
      </c>
      <c r="R95" s="252" t="s">
        <v>345</v>
      </c>
      <c r="S95" s="253" t="s">
        <v>341</v>
      </c>
      <c r="T95" s="238"/>
      <c r="U95" s="387">
        <v>41640.5</v>
      </c>
      <c r="V95" s="254" t="s">
        <v>339</v>
      </c>
      <c r="W95" s="267" t="s">
        <v>318</v>
      </c>
      <c r="X95" s="256" t="s">
        <v>342</v>
      </c>
    </row>
    <row r="96" spans="2:37" ht="15.6" x14ac:dyDescent="0.3">
      <c r="B96" s="192">
        <v>2019</v>
      </c>
      <c r="C96" s="194">
        <v>0.10879999999999999</v>
      </c>
      <c r="N96" s="238"/>
      <c r="O96" s="238"/>
      <c r="P96" s="238"/>
      <c r="Q96" s="387">
        <v>32874.75</v>
      </c>
      <c r="R96" s="252" t="s">
        <v>345</v>
      </c>
      <c r="S96" s="253" t="s">
        <v>341</v>
      </c>
      <c r="T96" s="238"/>
      <c r="U96" s="387">
        <v>41275.5</v>
      </c>
      <c r="V96" s="254" t="s">
        <v>306</v>
      </c>
      <c r="W96" s="267" t="s">
        <v>318</v>
      </c>
      <c r="X96" s="256" t="s">
        <v>339</v>
      </c>
    </row>
    <row r="97" spans="2:24" ht="15.6" x14ac:dyDescent="0.3">
      <c r="B97" s="192">
        <v>2020</v>
      </c>
      <c r="C97" s="194">
        <v>0.10630000000000001</v>
      </c>
      <c r="O97" s="238"/>
      <c r="P97" s="238"/>
      <c r="Q97" s="387">
        <v>32509.75</v>
      </c>
      <c r="R97" s="252" t="s">
        <v>348</v>
      </c>
      <c r="S97" s="253" t="s">
        <v>349</v>
      </c>
      <c r="T97" s="238"/>
      <c r="U97" s="387">
        <v>40909.5</v>
      </c>
      <c r="V97" s="252" t="s">
        <v>344</v>
      </c>
      <c r="W97" s="267" t="s">
        <v>318</v>
      </c>
      <c r="X97" s="256" t="s">
        <v>305</v>
      </c>
    </row>
    <row r="98" spans="2:24" ht="15.6" x14ac:dyDescent="0.3">
      <c r="B98" s="192">
        <v>2021</v>
      </c>
      <c r="C98" s="194">
        <v>0.1033</v>
      </c>
      <c r="N98" s="238"/>
      <c r="O98" s="238"/>
      <c r="P98" s="238"/>
      <c r="Q98" s="387">
        <v>32143.75</v>
      </c>
      <c r="R98" s="252" t="s">
        <v>352</v>
      </c>
      <c r="S98" s="253" t="s">
        <v>353</v>
      </c>
      <c r="T98" s="238"/>
      <c r="U98" s="387">
        <v>40544.75</v>
      </c>
      <c r="V98" s="252" t="s">
        <v>346</v>
      </c>
      <c r="W98" s="267" t="s">
        <v>318</v>
      </c>
      <c r="X98" s="253" t="s">
        <v>347</v>
      </c>
    </row>
    <row r="99" spans="2:24" ht="16.2" thickBot="1" x14ac:dyDescent="0.35">
      <c r="B99" s="195">
        <v>2022</v>
      </c>
      <c r="C99" s="197">
        <v>0.10039999999999999</v>
      </c>
      <c r="N99" s="238"/>
      <c r="O99" s="238"/>
      <c r="P99" s="238"/>
      <c r="Q99" s="387">
        <v>31778.75</v>
      </c>
      <c r="R99" s="252" t="s">
        <v>348</v>
      </c>
      <c r="S99" s="253" t="s">
        <v>349</v>
      </c>
      <c r="T99" s="238"/>
      <c r="U99" s="387">
        <v>40179.75</v>
      </c>
      <c r="V99" s="252" t="s">
        <v>350</v>
      </c>
      <c r="W99" s="255" t="s">
        <v>318</v>
      </c>
      <c r="X99" s="253" t="s">
        <v>351</v>
      </c>
    </row>
    <row r="100" spans="2:24" ht="16.2" thickTop="1" x14ac:dyDescent="0.3">
      <c r="N100" s="238"/>
      <c r="O100" s="238"/>
      <c r="P100" s="238"/>
      <c r="Q100" s="387">
        <v>31413.75</v>
      </c>
      <c r="R100" s="252" t="s">
        <v>358</v>
      </c>
      <c r="S100" s="253" t="s">
        <v>357</v>
      </c>
      <c r="T100" s="238"/>
      <c r="U100" s="387">
        <v>39814.75</v>
      </c>
      <c r="V100" s="252" t="s">
        <v>354</v>
      </c>
      <c r="W100" s="255" t="s">
        <v>318</v>
      </c>
      <c r="X100" s="253" t="s">
        <v>355</v>
      </c>
    </row>
    <row r="101" spans="2:24" ht="16.2" thickBot="1" x14ac:dyDescent="0.35">
      <c r="B101" t="s">
        <v>116</v>
      </c>
      <c r="N101" s="238"/>
      <c r="O101" s="238"/>
      <c r="P101" s="238"/>
      <c r="Q101" s="387">
        <v>31048.75</v>
      </c>
      <c r="R101" s="252" t="s">
        <v>352</v>
      </c>
      <c r="S101" s="253" t="s">
        <v>353</v>
      </c>
      <c r="T101" s="238"/>
      <c r="U101" s="387">
        <v>39448.75</v>
      </c>
      <c r="V101" s="252" t="s">
        <v>356</v>
      </c>
      <c r="W101" s="255" t="s">
        <v>318</v>
      </c>
      <c r="X101" s="253" t="s">
        <v>357</v>
      </c>
    </row>
    <row r="102" spans="2:24" ht="16.8" thickTop="1" thickBot="1" x14ac:dyDescent="0.35">
      <c r="B102" s="186" t="s">
        <v>31</v>
      </c>
      <c r="C102" s="187" t="s">
        <v>114</v>
      </c>
      <c r="N102" s="238"/>
      <c r="O102" s="238"/>
      <c r="P102" s="238"/>
      <c r="Q102" s="387">
        <v>30682.75</v>
      </c>
      <c r="R102" s="252" t="s">
        <v>362</v>
      </c>
      <c r="S102" s="253" t="s">
        <v>363</v>
      </c>
      <c r="T102" s="238"/>
      <c r="U102" s="387">
        <v>39083.75</v>
      </c>
      <c r="V102" s="252" t="s">
        <v>359</v>
      </c>
      <c r="W102" s="255" t="s">
        <v>318</v>
      </c>
      <c r="X102" s="253" t="s">
        <v>360</v>
      </c>
    </row>
    <row r="103" spans="2:24" ht="16.8" thickTop="1" thickBot="1" x14ac:dyDescent="0.35">
      <c r="B103" s="190">
        <v>1997</v>
      </c>
      <c r="C103" s="191">
        <v>6.3500000000000001E-2</v>
      </c>
      <c r="N103" s="238"/>
      <c r="O103" s="238"/>
      <c r="P103" s="238"/>
      <c r="Q103" s="389">
        <v>30317.75</v>
      </c>
      <c r="R103" s="259" t="s">
        <v>338</v>
      </c>
      <c r="S103" s="260" t="s">
        <v>335</v>
      </c>
      <c r="T103" s="238"/>
      <c r="U103" s="387">
        <v>38718.75</v>
      </c>
      <c r="V103" s="252" t="s">
        <v>333</v>
      </c>
      <c r="W103" s="255" t="s">
        <v>318</v>
      </c>
      <c r="X103" s="253" t="s">
        <v>361</v>
      </c>
    </row>
    <row r="104" spans="2:24" ht="16.2" thickTop="1" x14ac:dyDescent="0.3">
      <c r="B104" s="192">
        <v>1998</v>
      </c>
      <c r="C104" s="194">
        <v>6.3500000000000001E-2</v>
      </c>
      <c r="O104" s="238"/>
      <c r="P104" s="238"/>
      <c r="Q104" s="238"/>
      <c r="R104" s="238"/>
      <c r="S104" s="238"/>
      <c r="T104" s="238"/>
      <c r="U104" s="387">
        <v>38353.75</v>
      </c>
      <c r="V104" s="252" t="s">
        <v>346</v>
      </c>
      <c r="W104" s="255" t="s">
        <v>318</v>
      </c>
      <c r="X104" s="253" t="s">
        <v>347</v>
      </c>
    </row>
    <row r="105" spans="2:24" ht="15.6" x14ac:dyDescent="0.3">
      <c r="B105" s="192">
        <v>1999</v>
      </c>
      <c r="C105" s="194">
        <v>6.3500000000000001E-2</v>
      </c>
      <c r="N105" s="238" t="s">
        <v>366</v>
      </c>
      <c r="O105" s="238"/>
      <c r="P105" s="238"/>
      <c r="Q105" s="238"/>
      <c r="R105" s="238"/>
      <c r="S105" s="238"/>
      <c r="T105" s="238"/>
      <c r="U105" s="387">
        <v>37987.75</v>
      </c>
      <c r="V105" s="252" t="s">
        <v>364</v>
      </c>
      <c r="W105" s="255" t="s">
        <v>351</v>
      </c>
      <c r="X105" s="253" t="s">
        <v>317</v>
      </c>
    </row>
    <row r="106" spans="2:24" ht="15.6" x14ac:dyDescent="0.3">
      <c r="B106" s="192">
        <v>2000</v>
      </c>
      <c r="C106" s="194">
        <v>0.01</v>
      </c>
      <c r="U106" s="387">
        <v>37622.75</v>
      </c>
      <c r="V106" s="252" t="s">
        <v>317</v>
      </c>
      <c r="W106" s="255" t="s">
        <v>318</v>
      </c>
      <c r="X106" s="253" t="s">
        <v>365</v>
      </c>
    </row>
    <row r="107" spans="2:24" ht="15.6" x14ac:dyDescent="0.3">
      <c r="B107" s="192">
        <v>2001</v>
      </c>
      <c r="C107" s="194">
        <v>0.01</v>
      </c>
      <c r="U107" s="387">
        <v>37257.75</v>
      </c>
      <c r="V107" s="252" t="s">
        <v>367</v>
      </c>
      <c r="W107" s="255" t="s">
        <v>318</v>
      </c>
      <c r="X107" s="253" t="s">
        <v>329</v>
      </c>
    </row>
    <row r="108" spans="2:24" ht="16.2" thickBot="1" x14ac:dyDescent="0.35">
      <c r="B108" s="192">
        <v>2002</v>
      </c>
      <c r="C108" s="194">
        <v>4.4999999999999998E-2</v>
      </c>
      <c r="U108" s="389">
        <v>36892.75</v>
      </c>
      <c r="V108" s="259" t="s">
        <v>354</v>
      </c>
      <c r="W108" s="261" t="s">
        <v>318</v>
      </c>
      <c r="X108" s="260" t="s">
        <v>355</v>
      </c>
    </row>
    <row r="109" spans="2:24" ht="15" thickTop="1" x14ac:dyDescent="0.3">
      <c r="B109" s="192">
        <v>2003</v>
      </c>
      <c r="C109" s="194">
        <v>4.4999999999999998E-2</v>
      </c>
    </row>
    <row r="110" spans="2:24" x14ac:dyDescent="0.3">
      <c r="B110" s="192">
        <v>2004</v>
      </c>
      <c r="C110" s="194">
        <v>4.4999999999999998E-2</v>
      </c>
    </row>
    <row r="111" spans="2:24" x14ac:dyDescent="0.3">
      <c r="B111" s="192">
        <v>2005</v>
      </c>
      <c r="C111" s="194">
        <v>7.7800000000000008E-2</v>
      </c>
      <c r="N111" t="s">
        <v>192</v>
      </c>
    </row>
    <row r="112" spans="2:24" ht="15" thickBot="1" x14ac:dyDescent="0.35">
      <c r="B112" s="192">
        <v>2006</v>
      </c>
      <c r="C112" s="194">
        <v>7.7800000000000008E-2</v>
      </c>
    </row>
    <row r="113" spans="2:17" ht="15.6" thickTop="1" thickBot="1" x14ac:dyDescent="0.35">
      <c r="B113" s="192">
        <v>2007</v>
      </c>
      <c r="C113" s="194">
        <v>7.7800000000000008E-2</v>
      </c>
      <c r="N113" s="240"/>
      <c r="O113" s="241" t="s">
        <v>149</v>
      </c>
      <c r="P113" s="243" t="s">
        <v>150</v>
      </c>
      <c r="Q113" s="244" t="s">
        <v>151</v>
      </c>
    </row>
    <row r="114" spans="2:17" ht="16.2" thickTop="1" x14ac:dyDescent="0.3">
      <c r="B114" s="192">
        <v>2008</v>
      </c>
      <c r="C114" s="194">
        <v>0.10539999999999999</v>
      </c>
      <c r="N114" s="250">
        <v>44197</v>
      </c>
      <c r="O114" s="269">
        <v>1.26E-2</v>
      </c>
      <c r="P114" s="270" t="s">
        <v>154</v>
      </c>
      <c r="Q114" s="271">
        <f>O114/2</f>
        <v>6.3E-3</v>
      </c>
    </row>
    <row r="115" spans="2:17" ht="15.6" x14ac:dyDescent="0.3">
      <c r="B115" s="192">
        <v>2009</v>
      </c>
      <c r="C115" s="194">
        <v>0.10539999999999999</v>
      </c>
      <c r="N115" s="250">
        <v>43831</v>
      </c>
      <c r="O115" s="266" t="s">
        <v>155</v>
      </c>
      <c r="P115" s="267" t="s">
        <v>154</v>
      </c>
      <c r="Q115" s="268" t="s">
        <v>156</v>
      </c>
    </row>
    <row r="116" spans="2:17" ht="15.6" x14ac:dyDescent="0.3">
      <c r="B116" s="192">
        <v>2010</v>
      </c>
      <c r="C116" s="194">
        <v>0.10539999999999999</v>
      </c>
      <c r="N116" s="247">
        <f>N115-364.75</f>
        <v>43466.25</v>
      </c>
      <c r="O116" s="254">
        <v>2.3E-2</v>
      </c>
      <c r="P116" s="255" t="s">
        <v>154</v>
      </c>
      <c r="Q116" s="256">
        <v>1.15E-2</v>
      </c>
    </row>
    <row r="117" spans="2:17" ht="15.6" x14ac:dyDescent="0.3">
      <c r="B117" s="192">
        <v>2011</v>
      </c>
      <c r="C117" s="194">
        <v>0.11539999999999999</v>
      </c>
      <c r="N117" s="247">
        <f t="shared" ref="N117:N124" si="3">N116-364.75</f>
        <v>43101.5</v>
      </c>
      <c r="O117" s="254">
        <v>1.4999999999999999E-2</v>
      </c>
      <c r="P117" s="255" t="s">
        <v>154</v>
      </c>
      <c r="Q117" s="256">
        <v>7.4999999999999997E-3</v>
      </c>
    </row>
    <row r="118" spans="2:17" ht="15.6" x14ac:dyDescent="0.3">
      <c r="B118" s="192">
        <v>2012</v>
      </c>
      <c r="C118" s="194">
        <v>0.12300000000000001</v>
      </c>
      <c r="N118" s="247">
        <f t="shared" si="3"/>
        <v>42736.75</v>
      </c>
      <c r="O118" s="254">
        <v>1.4E-2</v>
      </c>
      <c r="P118" s="255" t="s">
        <v>154</v>
      </c>
      <c r="Q118" s="256">
        <v>7.0000000000000001E-3</v>
      </c>
    </row>
    <row r="119" spans="2:17" ht="15.6" x14ac:dyDescent="0.3">
      <c r="B119" s="192">
        <v>2013</v>
      </c>
      <c r="C119" s="194">
        <v>0.12300000000000001</v>
      </c>
      <c r="N119" s="247">
        <v>42370</v>
      </c>
      <c r="O119" s="254">
        <v>1.2E-2</v>
      </c>
      <c r="P119" s="255" t="s">
        <v>154</v>
      </c>
      <c r="Q119" s="256">
        <v>6.0000000000000001E-3</v>
      </c>
    </row>
    <row r="120" spans="2:17" ht="15.6" x14ac:dyDescent="0.3">
      <c r="B120" s="192">
        <v>2014</v>
      </c>
      <c r="C120" s="194">
        <v>0.14380000000000001</v>
      </c>
      <c r="N120" s="247">
        <f t="shared" si="3"/>
        <v>42005.25</v>
      </c>
      <c r="O120" s="254">
        <v>1.7999999999999999E-2</v>
      </c>
      <c r="P120" s="255" t="s">
        <v>154</v>
      </c>
      <c r="Q120" s="256">
        <v>8.9999999999999993E-3</v>
      </c>
    </row>
    <row r="121" spans="2:17" ht="15.6" x14ac:dyDescent="0.3">
      <c r="B121" s="192">
        <v>2015</v>
      </c>
      <c r="C121" s="194">
        <v>0.14380000000000001</v>
      </c>
      <c r="N121" s="247">
        <f t="shared" si="3"/>
        <v>41640.5</v>
      </c>
      <c r="O121" s="254">
        <v>8.9999999999999993E-3</v>
      </c>
      <c r="P121" s="255" t="s">
        <v>154</v>
      </c>
      <c r="Q121" s="256">
        <v>4.4999999999999997E-3</v>
      </c>
    </row>
    <row r="122" spans="2:17" ht="15.6" x14ac:dyDescent="0.3">
      <c r="B122" s="192">
        <v>2016</v>
      </c>
      <c r="C122" s="194">
        <v>0.14380000000000001</v>
      </c>
      <c r="N122" s="247">
        <f>N121-365</f>
        <v>41275.5</v>
      </c>
      <c r="O122" s="254">
        <v>1.7999999999999999E-2</v>
      </c>
      <c r="P122" s="255" t="s">
        <v>154</v>
      </c>
      <c r="Q122" s="256">
        <v>8.9999999999999993E-3</v>
      </c>
    </row>
    <row r="123" spans="2:17" ht="15.6" x14ac:dyDescent="0.3">
      <c r="B123" s="192">
        <v>2017</v>
      </c>
      <c r="C123" s="194">
        <v>0.15029999999999999</v>
      </c>
      <c r="N123" s="247">
        <f>N122-366</f>
        <v>40909.5</v>
      </c>
      <c r="O123" s="252" t="s">
        <v>169</v>
      </c>
      <c r="P123" s="255" t="s">
        <v>154</v>
      </c>
      <c r="Q123" s="256">
        <v>1.4E-2</v>
      </c>
    </row>
    <row r="124" spans="2:17" ht="15.6" x14ac:dyDescent="0.3">
      <c r="B124" s="192">
        <v>2018</v>
      </c>
      <c r="C124" s="194">
        <v>0.12820000000000001</v>
      </c>
      <c r="N124" s="247">
        <f t="shared" si="3"/>
        <v>40544.75</v>
      </c>
      <c r="O124" s="252" t="s">
        <v>171</v>
      </c>
      <c r="P124" s="255" t="s">
        <v>154</v>
      </c>
      <c r="Q124" s="253" t="s">
        <v>172</v>
      </c>
    </row>
    <row r="125" spans="2:17" ht="15.6" x14ac:dyDescent="0.3">
      <c r="B125" s="192">
        <v>2019</v>
      </c>
      <c r="C125" s="194">
        <v>0.12820000000000001</v>
      </c>
      <c r="N125" s="247">
        <f>N124-365</f>
        <v>40179.75</v>
      </c>
      <c r="O125" s="252" t="s">
        <v>173</v>
      </c>
      <c r="P125" s="255" t="s">
        <v>154</v>
      </c>
      <c r="Q125" s="253" t="s">
        <v>174</v>
      </c>
    </row>
    <row r="126" spans="2:17" ht="16.2" thickBot="1" x14ac:dyDescent="0.35">
      <c r="B126" s="195">
        <v>2020</v>
      </c>
      <c r="C126" s="197">
        <v>0.1229</v>
      </c>
      <c r="N126" s="247">
        <f>N125-365</f>
        <v>39814.75</v>
      </c>
      <c r="O126" s="252" t="s">
        <v>177</v>
      </c>
      <c r="P126" s="255" t="s">
        <v>154</v>
      </c>
      <c r="Q126" s="253" t="s">
        <v>178</v>
      </c>
    </row>
    <row r="127" spans="2:17" ht="16.2" thickTop="1" x14ac:dyDescent="0.3">
      <c r="N127" s="247">
        <f>N126-366</f>
        <v>39448.75</v>
      </c>
      <c r="O127" s="252" t="s">
        <v>181</v>
      </c>
      <c r="P127" s="255" t="s">
        <v>154</v>
      </c>
      <c r="Q127" s="253" t="s">
        <v>182</v>
      </c>
    </row>
    <row r="128" spans="2:17" ht="15.6" x14ac:dyDescent="0.3">
      <c r="N128" s="247">
        <f>N127-365</f>
        <v>39083.75</v>
      </c>
      <c r="O128" s="252" t="s">
        <v>183</v>
      </c>
      <c r="P128" s="255" t="s">
        <v>154</v>
      </c>
      <c r="Q128" s="253" t="s">
        <v>184</v>
      </c>
    </row>
    <row r="129" spans="4:17" ht="15.6" x14ac:dyDescent="0.3">
      <c r="N129" s="247">
        <f>N128-365</f>
        <v>38718.75</v>
      </c>
      <c r="O129" s="252" t="s">
        <v>163</v>
      </c>
      <c r="P129" s="255" t="s">
        <v>154</v>
      </c>
      <c r="Q129" s="253" t="s">
        <v>186</v>
      </c>
    </row>
    <row r="130" spans="4:17" ht="15.6" x14ac:dyDescent="0.3">
      <c r="N130" s="247">
        <f>N129-365</f>
        <v>38353.75</v>
      </c>
      <c r="O130" s="252" t="s">
        <v>171</v>
      </c>
      <c r="P130" s="255" t="s">
        <v>154</v>
      </c>
      <c r="Q130" s="253" t="s">
        <v>172</v>
      </c>
    </row>
    <row r="131" spans="4:17" ht="15.6" x14ac:dyDescent="0.3">
      <c r="N131" s="247">
        <f>N130-366</f>
        <v>37987.75</v>
      </c>
      <c r="O131" s="252" t="s">
        <v>189</v>
      </c>
      <c r="P131" s="255" t="s">
        <v>174</v>
      </c>
      <c r="Q131" s="253" t="s">
        <v>153</v>
      </c>
    </row>
    <row r="132" spans="4:17" ht="15.6" x14ac:dyDescent="0.3">
      <c r="N132" s="247">
        <f>N131-365</f>
        <v>37622.75</v>
      </c>
      <c r="O132" s="252" t="s">
        <v>153</v>
      </c>
      <c r="P132" s="255" t="s">
        <v>154</v>
      </c>
      <c r="Q132" s="253" t="s">
        <v>190</v>
      </c>
    </row>
    <row r="133" spans="4:17" ht="15.6" x14ac:dyDescent="0.3">
      <c r="N133" s="247">
        <f>N132-365</f>
        <v>37257.75</v>
      </c>
      <c r="O133" s="252" t="s">
        <v>191</v>
      </c>
      <c r="P133" s="255" t="s">
        <v>154</v>
      </c>
      <c r="Q133" s="253" t="s">
        <v>161</v>
      </c>
    </row>
    <row r="134" spans="4:17" ht="16.2" thickBot="1" x14ac:dyDescent="0.35">
      <c r="N134" s="247">
        <f>N133-365</f>
        <v>36892.75</v>
      </c>
      <c r="O134" s="252" t="s">
        <v>177</v>
      </c>
      <c r="P134" s="255" t="s">
        <v>154</v>
      </c>
      <c r="Q134" s="260" t="s">
        <v>178</v>
      </c>
    </row>
    <row r="135" spans="4:17" ht="16.2" thickTop="1" x14ac:dyDescent="0.3">
      <c r="N135" s="247">
        <f>N134-366</f>
        <v>36526.75</v>
      </c>
      <c r="O135" s="252" t="s">
        <v>153</v>
      </c>
      <c r="P135" s="253" t="s">
        <v>154</v>
      </c>
      <c r="Q135" s="238"/>
    </row>
    <row r="136" spans="4:17" ht="15.6" x14ac:dyDescent="0.3">
      <c r="N136" s="247">
        <f>N135-365</f>
        <v>36161.75</v>
      </c>
      <c r="O136" s="252" t="s">
        <v>158</v>
      </c>
      <c r="P136" s="253" t="s">
        <v>154</v>
      </c>
      <c r="Q136" s="238"/>
    </row>
    <row r="137" spans="4:17" ht="15.6" x14ac:dyDescent="0.3">
      <c r="N137" s="247">
        <f>N136-365</f>
        <v>35796.75</v>
      </c>
      <c r="O137" s="252" t="s">
        <v>160</v>
      </c>
      <c r="P137" s="253" t="s">
        <v>154</v>
      </c>
      <c r="Q137" s="238"/>
    </row>
    <row r="138" spans="4:17" ht="15.6" x14ac:dyDescent="0.3">
      <c r="N138" s="247">
        <f>N137-365</f>
        <v>35431.75</v>
      </c>
      <c r="O138" s="252" t="s">
        <v>161</v>
      </c>
      <c r="P138" s="253" t="s">
        <v>154</v>
      </c>
      <c r="Q138" s="238"/>
    </row>
    <row r="139" spans="4:17" ht="15.6" x14ac:dyDescent="0.3">
      <c r="N139" s="247">
        <f>N138-366</f>
        <v>35065.75</v>
      </c>
      <c r="O139" s="252" t="s">
        <v>163</v>
      </c>
      <c r="P139" s="253" t="s">
        <v>154</v>
      </c>
      <c r="Q139" s="238"/>
    </row>
    <row r="140" spans="4:17" ht="15.6" x14ac:dyDescent="0.3">
      <c r="N140" s="247">
        <f>N139-365</f>
        <v>34700.75</v>
      </c>
      <c r="O140" s="252" t="s">
        <v>154</v>
      </c>
      <c r="P140" s="253" t="s">
        <v>154</v>
      </c>
      <c r="Q140" s="238"/>
    </row>
    <row r="141" spans="4:17" ht="17.399999999999999" x14ac:dyDescent="0.3">
      <c r="D141" s="275" t="s">
        <v>117</v>
      </c>
      <c r="E141" s="262"/>
      <c r="N141" s="247">
        <f>N140-365</f>
        <v>34335.75</v>
      </c>
      <c r="O141" s="252" t="s">
        <v>160</v>
      </c>
      <c r="P141" s="253" t="s">
        <v>154</v>
      </c>
      <c r="Q141" s="238"/>
    </row>
    <row r="142" spans="4:17" ht="19.5" customHeight="1" x14ac:dyDescent="0.3">
      <c r="D142" s="276" t="s">
        <v>118</v>
      </c>
      <c r="E142" s="263"/>
      <c r="F142" s="262"/>
      <c r="G142" s="262"/>
      <c r="H142" s="262"/>
      <c r="I142" s="262"/>
      <c r="J142" s="262"/>
      <c r="K142" s="262"/>
      <c r="N142" s="247">
        <f>N141-365</f>
        <v>33970.75</v>
      </c>
      <c r="O142" s="252" t="s">
        <v>167</v>
      </c>
      <c r="P142" s="253" t="s">
        <v>154</v>
      </c>
      <c r="Q142" s="238"/>
    </row>
    <row r="143" spans="4:17" ht="15.75" customHeight="1" x14ac:dyDescent="0.3">
      <c r="D143" s="263"/>
      <c r="E143" s="263"/>
      <c r="F143" s="263"/>
      <c r="G143" s="263"/>
      <c r="H143" s="263"/>
      <c r="I143" s="263"/>
      <c r="J143" s="263"/>
      <c r="K143" s="263"/>
      <c r="N143" s="247">
        <f>N142-366</f>
        <v>33604.75</v>
      </c>
      <c r="O143" s="252" t="s">
        <v>168</v>
      </c>
      <c r="P143" s="253" t="s">
        <v>169</v>
      </c>
      <c r="Q143" s="238"/>
    </row>
    <row r="144" spans="4:17" ht="17.399999999999999" x14ac:dyDescent="0.3">
      <c r="D144" s="263"/>
      <c r="E144" s="263"/>
      <c r="F144" s="263"/>
      <c r="G144" s="263"/>
      <c r="H144" s="263"/>
      <c r="I144" s="263"/>
      <c r="J144" s="263"/>
      <c r="K144" s="263"/>
      <c r="L144" s="262"/>
      <c r="N144" s="247">
        <f>N143-365</f>
        <v>33239.75</v>
      </c>
      <c r="O144" s="252" t="s">
        <v>170</v>
      </c>
      <c r="P144" s="253" t="s">
        <v>167</v>
      </c>
      <c r="Q144" s="238"/>
    </row>
    <row r="145" spans="4:17" ht="15.6" x14ac:dyDescent="0.3">
      <c r="D145" s="263"/>
      <c r="E145" s="263"/>
      <c r="F145" s="263"/>
      <c r="G145" s="263"/>
      <c r="H145" s="263"/>
      <c r="I145" s="263"/>
      <c r="J145" s="263"/>
      <c r="K145" s="263"/>
      <c r="L145" s="263"/>
      <c r="N145" s="247">
        <f>N144-365</f>
        <v>32874.75</v>
      </c>
      <c r="O145" s="252" t="s">
        <v>170</v>
      </c>
      <c r="P145" s="253" t="s">
        <v>167</v>
      </c>
      <c r="Q145" s="238"/>
    </row>
    <row r="146" spans="4:17" ht="15.6" x14ac:dyDescent="0.3">
      <c r="D146" s="263"/>
      <c r="E146" s="263"/>
      <c r="F146" s="263"/>
      <c r="G146" s="263"/>
      <c r="H146" s="263"/>
      <c r="I146" s="263"/>
      <c r="J146" s="263"/>
      <c r="K146" s="263"/>
      <c r="L146" s="263"/>
      <c r="N146" s="247">
        <f>N145-365</f>
        <v>32509.75</v>
      </c>
      <c r="O146" s="252" t="s">
        <v>175</v>
      </c>
      <c r="P146" s="253" t="s">
        <v>176</v>
      </c>
      <c r="Q146" s="238"/>
    </row>
    <row r="147" spans="4:17" ht="15.6" x14ac:dyDescent="0.3">
      <c r="D147" s="263"/>
      <c r="E147" s="263"/>
      <c r="F147" s="263"/>
      <c r="G147" s="263"/>
      <c r="H147" s="263"/>
      <c r="I147" s="263"/>
      <c r="J147" s="263"/>
      <c r="K147" s="263"/>
      <c r="L147" s="263"/>
      <c r="N147" s="247">
        <f>N146-366</f>
        <v>32143.75</v>
      </c>
      <c r="O147" s="252" t="s">
        <v>179</v>
      </c>
      <c r="P147" s="253" t="s">
        <v>180</v>
      </c>
      <c r="Q147" s="238"/>
    </row>
    <row r="148" spans="4:17" ht="15.6" x14ac:dyDescent="0.3">
      <c r="D148" s="263"/>
      <c r="E148" s="263"/>
      <c r="F148" s="263"/>
      <c r="G148" s="263"/>
      <c r="H148" s="263"/>
      <c r="I148" s="263"/>
      <c r="J148" s="263"/>
      <c r="K148" s="263"/>
      <c r="L148" s="263"/>
      <c r="N148" s="247">
        <f>N147-365</f>
        <v>31778.75</v>
      </c>
      <c r="O148" s="252" t="s">
        <v>175</v>
      </c>
      <c r="P148" s="253" t="s">
        <v>176</v>
      </c>
      <c r="Q148" s="238"/>
    </row>
    <row r="149" spans="4:17" ht="15.6" x14ac:dyDescent="0.3">
      <c r="D149" s="263"/>
      <c r="E149" s="263"/>
      <c r="F149" s="263"/>
      <c r="G149" s="263"/>
      <c r="H149" s="263"/>
      <c r="I149" s="263"/>
      <c r="J149" s="263"/>
      <c r="K149" s="263"/>
      <c r="L149" s="263"/>
      <c r="N149" s="247">
        <f>N148-365</f>
        <v>31413.75</v>
      </c>
      <c r="O149" s="252" t="s">
        <v>185</v>
      </c>
      <c r="P149" s="253" t="s">
        <v>182</v>
      </c>
      <c r="Q149" s="238"/>
    </row>
    <row r="150" spans="4:17" ht="15.6" x14ac:dyDescent="0.3">
      <c r="D150" s="3" t="s">
        <v>119</v>
      </c>
      <c r="F150" s="263"/>
      <c r="G150" s="263"/>
      <c r="H150" s="263"/>
      <c r="I150" s="263"/>
      <c r="J150" s="263"/>
      <c r="K150" s="263"/>
      <c r="L150" s="263"/>
      <c r="N150" s="247">
        <f>N149-365</f>
        <v>31048.75</v>
      </c>
      <c r="O150" s="252" t="s">
        <v>179</v>
      </c>
      <c r="P150" s="253" t="s">
        <v>180</v>
      </c>
      <c r="Q150" s="238"/>
    </row>
    <row r="151" spans="4:17" ht="15.6" x14ac:dyDescent="0.3">
      <c r="L151" s="263"/>
      <c r="N151" s="247">
        <f>N150-366</f>
        <v>30682.75</v>
      </c>
      <c r="O151" s="252" t="s">
        <v>187</v>
      </c>
      <c r="P151" s="253" t="s">
        <v>188</v>
      </c>
      <c r="Q151" s="238"/>
    </row>
    <row r="152" spans="4:17" ht="16.2" thickBot="1" x14ac:dyDescent="0.35">
      <c r="L152" s="263"/>
      <c r="N152" s="247">
        <f>N151-365</f>
        <v>30317.75</v>
      </c>
      <c r="O152" s="252" t="s">
        <v>165</v>
      </c>
      <c r="P152" s="260" t="s">
        <v>164</v>
      </c>
      <c r="Q152" s="238"/>
    </row>
    <row r="153" spans="4:17" ht="16.2" thickTop="1" x14ac:dyDescent="0.3">
      <c r="N153" s="247">
        <f>N152-365</f>
        <v>29952.75</v>
      </c>
      <c r="O153" s="251" t="s">
        <v>152</v>
      </c>
      <c r="P153" s="238"/>
      <c r="Q153" s="238"/>
    </row>
    <row r="154" spans="4:17" ht="15.6" x14ac:dyDescent="0.3">
      <c r="N154" s="247">
        <f>N153-365</f>
        <v>29587.75</v>
      </c>
      <c r="O154" s="251" t="s">
        <v>157</v>
      </c>
      <c r="P154" s="238"/>
      <c r="Q154" s="238"/>
    </row>
    <row r="155" spans="4:17" ht="15.6" x14ac:dyDescent="0.3">
      <c r="N155" s="247">
        <f>N154-366</f>
        <v>29221.75</v>
      </c>
      <c r="O155" s="251" t="s">
        <v>159</v>
      </c>
      <c r="P155" s="238"/>
      <c r="Q155" s="238"/>
    </row>
    <row r="156" spans="4:17" ht="15.6" x14ac:dyDescent="0.3">
      <c r="N156" s="247">
        <f>N155-365</f>
        <v>28856.75</v>
      </c>
      <c r="O156" s="251" t="s">
        <v>159</v>
      </c>
      <c r="P156" s="238"/>
      <c r="Q156" s="238"/>
    </row>
    <row r="157" spans="4:17" ht="15.6" x14ac:dyDescent="0.3">
      <c r="N157" s="247">
        <f>N156-365</f>
        <v>28491.75</v>
      </c>
      <c r="O157" s="251" t="s">
        <v>162</v>
      </c>
      <c r="P157" s="238"/>
      <c r="Q157" s="238"/>
    </row>
    <row r="158" spans="4:17" ht="15.6" x14ac:dyDescent="0.3">
      <c r="N158" s="247">
        <f>N157-365</f>
        <v>28126.75</v>
      </c>
      <c r="O158" s="251" t="s">
        <v>164</v>
      </c>
      <c r="P158" s="238"/>
      <c r="Q158" s="238"/>
    </row>
    <row r="159" spans="4:17" ht="15.6" x14ac:dyDescent="0.3">
      <c r="N159" s="247">
        <f>N158-366</f>
        <v>27760.75</v>
      </c>
      <c r="O159" s="251" t="s">
        <v>165</v>
      </c>
      <c r="P159" s="238"/>
      <c r="Q159" s="238"/>
    </row>
    <row r="160" spans="4:17" ht="15.6" x14ac:dyDescent="0.3">
      <c r="N160" s="247">
        <f>N159-365</f>
        <v>27395.75</v>
      </c>
      <c r="O160" s="251" t="s">
        <v>166</v>
      </c>
      <c r="P160" s="238"/>
      <c r="Q160" s="238"/>
    </row>
    <row r="161" spans="14:17" ht="16.2" thickBot="1" x14ac:dyDescent="0.35">
      <c r="N161" s="257">
        <f>N160-365</f>
        <v>27030.75</v>
      </c>
      <c r="O161" s="258" t="s">
        <v>164</v>
      </c>
      <c r="P161" s="238"/>
      <c r="Q161" s="238"/>
    </row>
    <row r="162" spans="14:17" ht="15" thickTop="1" x14ac:dyDescent="0.3"/>
  </sheetData>
  <dataConsolidate/>
  <mergeCells count="14">
    <mergeCell ref="AN12:AN13"/>
    <mergeCell ref="AO12:AO13"/>
    <mergeCell ref="AK71:AK81"/>
    <mergeCell ref="AK65:AK66"/>
    <mergeCell ref="AL65:AL66"/>
    <mergeCell ref="AK67:AK68"/>
    <mergeCell ref="AL67:AL68"/>
    <mergeCell ref="AK69:AK70"/>
    <mergeCell ref="AL69:AL70"/>
    <mergeCell ref="L5:P5"/>
    <mergeCell ref="AJ12:AJ13"/>
    <mergeCell ref="AK12:AK13"/>
    <mergeCell ref="AL12:AL13"/>
    <mergeCell ref="AM12:AM13"/>
  </mergeCells>
  <hyperlinks>
    <hyperlink ref="D150" r:id="rId1" xr:uid="{AE0ECEBC-DDDF-4BF8-A07E-C47DFFD68624}"/>
    <hyperlink ref="U8" r:id="rId2" location="18" xr:uid="{2A782D83-55E3-4F61-A822-97BA557FF130}"/>
    <hyperlink ref="AU34" r:id="rId3" location="service_ajoute" display="https://www.carra.gouv.qc.ca/fra/publications/etat_participation/etat_participation_exemple.htm - service_ajoute" xr:uid="{5B173522-1BFF-4014-B64B-11A00AF898BC}"/>
  </hyperlinks>
  <pageMargins left="0.7" right="0.7" top="0.75" bottom="0.75" header="0.3" footer="0.3"/>
  <pageSetup orientation="portrait" r:id="rId4"/>
  <drawing r:id="rId5"/>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Q101"/>
  <sheetViews>
    <sheetView showGridLines="0" showZeros="0" zoomScale="85" zoomScaleNormal="85" workbookViewId="0">
      <selection activeCell="F28" sqref="F28"/>
    </sheetView>
  </sheetViews>
  <sheetFormatPr baseColWidth="10" defaultRowHeight="14.4" x14ac:dyDescent="0.3"/>
  <cols>
    <col min="5" max="5" width="59.21875" customWidth="1"/>
    <col min="6" max="6" width="12.21875" customWidth="1"/>
    <col min="7" max="7" width="11.77734375" customWidth="1"/>
    <col min="8" max="8" width="15.77734375" customWidth="1"/>
    <col min="9" max="15" width="10.21875" customWidth="1"/>
    <col min="16" max="16" width="55.21875" customWidth="1"/>
    <col min="17" max="17" width="10.21875" customWidth="1"/>
    <col min="18" max="18" width="14.21875" customWidth="1"/>
  </cols>
  <sheetData>
    <row r="1" spans="1:17" x14ac:dyDescent="0.3">
      <c r="A1" s="26" t="s">
        <v>47</v>
      </c>
      <c r="B1" s="3"/>
    </row>
    <row r="2" spans="1:17" x14ac:dyDescent="0.3">
      <c r="A2" s="44"/>
      <c r="B2" s="3"/>
    </row>
    <row r="3" spans="1:17" x14ac:dyDescent="0.3">
      <c r="E3" s="3"/>
      <c r="O3" s="6"/>
      <c r="P3" s="6"/>
      <c r="Q3" s="6"/>
    </row>
    <row r="4" spans="1:17" ht="15" thickBot="1" x14ac:dyDescent="0.35">
      <c r="E4" t="s">
        <v>414</v>
      </c>
      <c r="O4" s="6"/>
      <c r="P4" s="6"/>
      <c r="Q4" s="6"/>
    </row>
    <row r="5" spans="1:17" ht="15.6" thickTop="1" thickBot="1" x14ac:dyDescent="0.35">
      <c r="E5" s="96" t="s">
        <v>413</v>
      </c>
      <c r="F5" s="97">
        <v>70000</v>
      </c>
      <c r="H5" s="277" t="s">
        <v>37</v>
      </c>
      <c r="I5" s="278">
        <v>1.7000000000000001E-2</v>
      </c>
      <c r="J5" s="278">
        <v>2.8000000000000001E-2</v>
      </c>
      <c r="K5" s="278">
        <v>1.7999999999999999E-2</v>
      </c>
      <c r="L5" s="279">
        <v>8.9999999999999993E-3</v>
      </c>
    </row>
    <row r="6" spans="1:17" ht="15.6" thickTop="1" thickBot="1" x14ac:dyDescent="0.35">
      <c r="H6" s="287">
        <v>40360</v>
      </c>
      <c r="I6" s="288">
        <v>40544</v>
      </c>
      <c r="J6" s="288">
        <v>40909</v>
      </c>
      <c r="K6" s="288">
        <v>41275</v>
      </c>
      <c r="L6" s="289">
        <v>41640</v>
      </c>
    </row>
    <row r="7" spans="1:17" ht="15.6" thickTop="1" thickBot="1" x14ac:dyDescent="0.35">
      <c r="E7" s="73" t="s">
        <v>44</v>
      </c>
      <c r="F7" s="77" t="s">
        <v>45</v>
      </c>
      <c r="G7" s="264" t="s">
        <v>43</v>
      </c>
      <c r="H7" s="280" t="s">
        <v>43</v>
      </c>
      <c r="I7" s="88" t="s">
        <v>43</v>
      </c>
      <c r="J7" s="88" t="s">
        <v>43</v>
      </c>
      <c r="K7" s="88" t="s">
        <v>43</v>
      </c>
      <c r="L7" s="281" t="s">
        <v>43</v>
      </c>
    </row>
    <row r="8" spans="1:17" ht="15" thickTop="1" x14ac:dyDescent="0.3">
      <c r="E8" s="74" t="s">
        <v>40</v>
      </c>
      <c r="F8" s="45">
        <v>2</v>
      </c>
      <c r="G8" s="265">
        <f>F8*2%*$F$5</f>
        <v>2800</v>
      </c>
      <c r="H8" s="282">
        <f>G8</f>
        <v>2800</v>
      </c>
      <c r="I8" s="89">
        <f>H8+H8*I5</f>
        <v>2847.6</v>
      </c>
      <c r="J8" s="89">
        <f t="shared" ref="J8:L8" si="0">I8+I8*J5</f>
        <v>2927.3328000000001</v>
      </c>
      <c r="K8" s="89">
        <f t="shared" si="0"/>
        <v>2980.0247904000003</v>
      </c>
      <c r="L8" s="332">
        <f t="shared" si="0"/>
        <v>3006.8450135136004</v>
      </c>
    </row>
    <row r="9" spans="1:17" x14ac:dyDescent="0.3">
      <c r="E9" s="75" t="s">
        <v>39</v>
      </c>
      <c r="F9" s="46">
        <v>17.5</v>
      </c>
      <c r="G9" s="92">
        <f>F9*2%*$F$5</f>
        <v>24500.000000000004</v>
      </c>
      <c r="H9" s="283">
        <f>G9</f>
        <v>24500.000000000004</v>
      </c>
      <c r="I9" s="90">
        <f>$H$9</f>
        <v>24500.000000000004</v>
      </c>
      <c r="J9" s="90">
        <f t="shared" ref="J9" si="1">$H$9</f>
        <v>24500.000000000004</v>
      </c>
      <c r="K9" s="90">
        <f>$H$9</f>
        <v>24500.000000000004</v>
      </c>
      <c r="L9" s="284">
        <f>$H$9</f>
        <v>24500.000000000004</v>
      </c>
    </row>
    <row r="10" spans="1:17" x14ac:dyDescent="0.3">
      <c r="E10" s="75" t="s">
        <v>41</v>
      </c>
      <c r="F10" s="46">
        <v>10.5</v>
      </c>
      <c r="G10" s="92">
        <f>F10*2%*$F$5</f>
        <v>14700</v>
      </c>
      <c r="H10" s="283">
        <f>G10</f>
        <v>14700</v>
      </c>
      <c r="I10" s="90">
        <f>H10+50%*I5*H10</f>
        <v>14824.95</v>
      </c>
      <c r="J10" s="90">
        <f t="shared" ref="J10:L10" si="2">I10+50%*J5*I10</f>
        <v>15032.499300000001</v>
      </c>
      <c r="K10" s="90">
        <f t="shared" si="2"/>
        <v>15167.791793700002</v>
      </c>
      <c r="L10" s="284">
        <f t="shared" si="2"/>
        <v>15236.046856771653</v>
      </c>
    </row>
    <row r="11" spans="1:17" ht="15" thickBot="1" x14ac:dyDescent="0.35">
      <c r="E11" s="76" t="s">
        <v>42</v>
      </c>
      <c r="F11" s="47">
        <f>SUM(F8:F10)</f>
        <v>30</v>
      </c>
      <c r="G11" s="93">
        <f>SUM(G8:G10)</f>
        <v>42000</v>
      </c>
      <c r="H11" s="285">
        <f>G11</f>
        <v>42000</v>
      </c>
      <c r="I11" s="91">
        <f>SUM(I8:I10)</f>
        <v>42172.55</v>
      </c>
      <c r="J11" s="91">
        <f t="shared" ref="J11" si="3">SUM(J8:J10)</f>
        <v>42459.832100000007</v>
      </c>
      <c r="K11" s="91">
        <f>SUM(K8:K10)</f>
        <v>42647.816584100001</v>
      </c>
      <c r="L11" s="286">
        <f>SUM(L8:L10)</f>
        <v>42742.891870285253</v>
      </c>
    </row>
    <row r="12" spans="1:17" ht="15" thickTop="1" x14ac:dyDescent="0.3"/>
    <row r="13" spans="1:17" x14ac:dyDescent="0.3">
      <c r="H13" s="42"/>
      <c r="I13" s="6"/>
      <c r="J13" s="40">
        <f>(L11/G11)-1</f>
        <v>1.7687901673458351E-2</v>
      </c>
      <c r="K13" t="s">
        <v>51</v>
      </c>
      <c r="N13" s="6"/>
      <c r="O13" s="6"/>
    </row>
    <row r="14" spans="1:17" ht="15" thickBot="1" x14ac:dyDescent="0.35">
      <c r="B14" s="80" t="s">
        <v>31</v>
      </c>
      <c r="C14" s="84" t="s">
        <v>37</v>
      </c>
      <c r="D14" s="68"/>
      <c r="G14" s="29"/>
      <c r="I14" s="42"/>
      <c r="J14" s="40">
        <f>SUM(H5:L5)</f>
        <v>7.1999999999999995E-2</v>
      </c>
      <c r="K14" t="s">
        <v>52</v>
      </c>
    </row>
    <row r="15" spans="1:17" ht="15.6" thickTop="1" thickBot="1" x14ac:dyDescent="0.35">
      <c r="B15" s="82">
        <v>2024</v>
      </c>
      <c r="C15" s="329">
        <v>4.3999999999999997E-2</v>
      </c>
      <c r="D15" s="68"/>
      <c r="G15" s="29"/>
      <c r="I15" s="42"/>
      <c r="J15" s="40"/>
    </row>
    <row r="16" spans="1:17" ht="15" thickTop="1" x14ac:dyDescent="0.3">
      <c r="B16" s="330">
        <v>2023</v>
      </c>
      <c r="C16" s="331">
        <v>6.5000000000000002E-2</v>
      </c>
      <c r="D16" s="69"/>
    </row>
    <row r="17" spans="2:12" x14ac:dyDescent="0.3">
      <c r="B17" s="82">
        <v>2022</v>
      </c>
      <c r="C17" s="329">
        <v>2.7E-2</v>
      </c>
      <c r="D17" s="69"/>
      <c r="I17" s="29"/>
    </row>
    <row r="18" spans="2:12" x14ac:dyDescent="0.3">
      <c r="B18" s="82">
        <v>2021</v>
      </c>
      <c r="C18" s="329">
        <v>1.26E-2</v>
      </c>
      <c r="D18" s="69"/>
    </row>
    <row r="19" spans="2:12" ht="15" thickBot="1" x14ac:dyDescent="0.35">
      <c r="B19" s="81">
        <v>2020</v>
      </c>
      <c r="C19" s="53">
        <v>1.9E-2</v>
      </c>
      <c r="D19" s="69"/>
      <c r="E19" t="s">
        <v>415</v>
      </c>
    </row>
    <row r="20" spans="2:12" ht="15" thickTop="1" x14ac:dyDescent="0.3">
      <c r="B20" s="81">
        <f>B19-1</f>
        <v>2019</v>
      </c>
      <c r="C20" s="53">
        <v>2.3E-2</v>
      </c>
      <c r="D20" s="69"/>
      <c r="E20" s="79" t="s">
        <v>38</v>
      </c>
      <c r="F20" s="48">
        <v>2.7E-2</v>
      </c>
    </row>
    <row r="21" spans="2:12" ht="15" thickBot="1" x14ac:dyDescent="0.35">
      <c r="B21" s="81">
        <f t="shared" ref="B21:B65" si="4">B20-1</f>
        <v>2018</v>
      </c>
      <c r="C21" s="53">
        <v>1.4999999999999999E-2</v>
      </c>
      <c r="D21" s="69"/>
      <c r="E21" s="76" t="s">
        <v>413</v>
      </c>
      <c r="F21" s="49">
        <v>90000</v>
      </c>
    </row>
    <row r="22" spans="2:12" ht="15.6" thickTop="1" thickBot="1" x14ac:dyDescent="0.35">
      <c r="B22" s="81">
        <f t="shared" si="4"/>
        <v>2017</v>
      </c>
      <c r="C22" s="53">
        <v>1.4E-2</v>
      </c>
      <c r="D22" s="69"/>
      <c r="H22" s="70">
        <v>2020</v>
      </c>
      <c r="I22" s="71">
        <v>2021</v>
      </c>
      <c r="J22" s="71">
        <v>2022</v>
      </c>
      <c r="K22" s="71">
        <v>2023</v>
      </c>
      <c r="L22" s="72">
        <v>2024</v>
      </c>
    </row>
    <row r="23" spans="2:12" ht="15.6" thickTop="1" thickBot="1" x14ac:dyDescent="0.35">
      <c r="B23" s="82">
        <f t="shared" si="4"/>
        <v>2016</v>
      </c>
      <c r="C23" s="54">
        <v>1.2E-2</v>
      </c>
      <c r="D23" s="69"/>
      <c r="E23" s="73" t="s">
        <v>50</v>
      </c>
      <c r="F23" s="77" t="s">
        <v>45</v>
      </c>
      <c r="G23" s="78" t="s">
        <v>43</v>
      </c>
      <c r="H23" s="85">
        <v>1.9E-2</v>
      </c>
      <c r="I23" s="85">
        <v>1.26E-2</v>
      </c>
      <c r="J23" s="85">
        <v>2.7E-2</v>
      </c>
      <c r="K23" s="85">
        <v>6.5000000000000002E-2</v>
      </c>
      <c r="L23" s="465">
        <v>4.3999999999999997E-2</v>
      </c>
    </row>
    <row r="24" spans="2:12" ht="15" thickTop="1" x14ac:dyDescent="0.3">
      <c r="B24" s="82">
        <f t="shared" si="4"/>
        <v>2015</v>
      </c>
      <c r="C24" s="54">
        <v>1.7999999999999999E-2</v>
      </c>
      <c r="D24" s="69"/>
      <c r="E24" s="74" t="s">
        <v>40</v>
      </c>
      <c r="F24" s="45">
        <v>2.5</v>
      </c>
      <c r="G24" s="98">
        <f>F24*2%*$F$21</f>
        <v>4500</v>
      </c>
      <c r="H24" s="14">
        <f>G24+G24*H23</f>
        <v>4585.5</v>
      </c>
      <c r="I24" s="12">
        <f>H24+H24*I23</f>
        <v>4643.2772999999997</v>
      </c>
      <c r="J24" s="12">
        <f>I24+I24*J23</f>
        <v>4768.6457870999993</v>
      </c>
      <c r="K24" s="12">
        <f>J24+J24*K23</f>
        <v>5078.6077632614997</v>
      </c>
      <c r="L24" s="99">
        <f>K24+K24*L23</f>
        <v>5302.0665048450055</v>
      </c>
    </row>
    <row r="25" spans="2:12" ht="16.2" x14ac:dyDescent="0.3">
      <c r="B25" s="82">
        <f t="shared" si="4"/>
        <v>2014</v>
      </c>
      <c r="C25" s="54">
        <v>8.9999999999999993E-3</v>
      </c>
      <c r="D25" s="69"/>
      <c r="E25" s="75" t="s">
        <v>64</v>
      </c>
      <c r="F25" s="46">
        <v>17.5</v>
      </c>
      <c r="G25" s="100">
        <f>F25*2%*$F$21</f>
        <v>31500.000000000004</v>
      </c>
      <c r="H25" s="15">
        <f>G25+IF(H23&gt;3%,H23-3%,0)*G25</f>
        <v>31500.000000000004</v>
      </c>
      <c r="I25" s="13">
        <f>H25+IF(I23&gt;3%,I23-3%,0)*H25</f>
        <v>31500.000000000004</v>
      </c>
      <c r="J25" s="13">
        <f>I25+IF(J23&gt;3%,J23-3%,0)*I25</f>
        <v>31500.000000000004</v>
      </c>
      <c r="K25" s="13">
        <f>J25+IF(K23&gt;3%,K23-3%,0)*J25</f>
        <v>32602.500000000004</v>
      </c>
      <c r="L25" s="92">
        <f>K25+IF(L23&gt;3%,L23-3%,0)*K25</f>
        <v>33058.935000000005</v>
      </c>
    </row>
    <row r="26" spans="2:12" ht="16.2" x14ac:dyDescent="0.3">
      <c r="B26" s="82">
        <f t="shared" si="4"/>
        <v>2013</v>
      </c>
      <c r="C26" s="54">
        <v>1.7999999999999999E-2</v>
      </c>
      <c r="D26" s="69"/>
      <c r="E26" s="75" t="s">
        <v>49</v>
      </c>
      <c r="F26" s="46">
        <v>20</v>
      </c>
      <c r="G26" s="100">
        <f>F26*2%*$F$21</f>
        <v>36000</v>
      </c>
      <c r="H26" s="15">
        <f>G26+IF(H23-3%&gt;50%*H23,H23-3%,50%*H23)*G26</f>
        <v>36342</v>
      </c>
      <c r="I26" s="13">
        <f>H26+IF(I23-3%&gt;50%*I23,I23-3%,50%*I23)*H26</f>
        <v>36570.954599999997</v>
      </c>
      <c r="J26" s="13">
        <f>I26+IF(J23-3%&gt;50%*J23,J23-3%,50%*J23)*I26</f>
        <v>37064.662487099995</v>
      </c>
      <c r="K26" s="13">
        <f>J26+IF(K23-3%&gt;50%*K23,K23-3%,50%*K23)*J26</f>
        <v>38361.925674148493</v>
      </c>
      <c r="L26" s="92">
        <f>K26+IF(L23-3%&gt;50%*L23,L23-3%,50%*L23)*K26</f>
        <v>39205.888038979763</v>
      </c>
    </row>
    <row r="27" spans="2:12" ht="15" thickBot="1" x14ac:dyDescent="0.35">
      <c r="B27" s="82">
        <f t="shared" si="4"/>
        <v>2012</v>
      </c>
      <c r="C27" s="54">
        <v>2.8000000000000001E-2</v>
      </c>
      <c r="D27" s="69"/>
      <c r="E27" s="76" t="s">
        <v>42</v>
      </c>
      <c r="F27" s="47">
        <f t="shared" ref="F27:L27" si="5">SUM(F24:F26)</f>
        <v>40</v>
      </c>
      <c r="G27" s="101">
        <f t="shared" si="5"/>
        <v>72000</v>
      </c>
      <c r="H27" s="102">
        <f t="shared" si="5"/>
        <v>72427.5</v>
      </c>
      <c r="I27" s="86">
        <f t="shared" si="5"/>
        <v>72714.231899999999</v>
      </c>
      <c r="J27" s="86">
        <f t="shared" si="5"/>
        <v>73333.308274199997</v>
      </c>
      <c r="K27" s="86">
        <f t="shared" si="5"/>
        <v>76043.033437409991</v>
      </c>
      <c r="L27" s="93">
        <f t="shared" si="5"/>
        <v>77566.889543824771</v>
      </c>
    </row>
    <row r="28" spans="2:12" ht="15" thickTop="1" x14ac:dyDescent="0.3">
      <c r="B28" s="82">
        <f t="shared" si="4"/>
        <v>2011</v>
      </c>
      <c r="C28" s="54">
        <v>1.7000000000000001E-2</v>
      </c>
      <c r="D28" s="69"/>
    </row>
    <row r="29" spans="2:12" x14ac:dyDescent="0.3">
      <c r="B29" s="82">
        <f t="shared" si="4"/>
        <v>2010</v>
      </c>
      <c r="C29" s="54">
        <v>4.0000000000000001E-3</v>
      </c>
      <c r="D29" s="69"/>
      <c r="F29" s="42" t="s">
        <v>48</v>
      </c>
      <c r="G29" s="40">
        <f>(L27/G27)-1</f>
        <v>7.7317910330899631E-2</v>
      </c>
    </row>
    <row r="30" spans="2:12" x14ac:dyDescent="0.3">
      <c r="B30" s="82">
        <f t="shared" si="4"/>
        <v>2009</v>
      </c>
      <c r="C30" s="54">
        <v>2.5000000000000001E-2</v>
      </c>
      <c r="D30" s="69"/>
      <c r="F30" s="42" t="s">
        <v>416</v>
      </c>
      <c r="G30" s="40">
        <f>SUM(H23:L23)</f>
        <v>0.1676</v>
      </c>
    </row>
    <row r="31" spans="2:12" x14ac:dyDescent="0.3">
      <c r="B31" s="82">
        <f t="shared" si="4"/>
        <v>2008</v>
      </c>
      <c r="C31" s="54">
        <v>0.02</v>
      </c>
      <c r="D31" s="69"/>
      <c r="F31" s="42" t="s">
        <v>417</v>
      </c>
      <c r="G31" s="40">
        <f>G30-G29</f>
        <v>9.0282089669100368E-2</v>
      </c>
    </row>
    <row r="32" spans="2:12" x14ac:dyDescent="0.3">
      <c r="B32" s="82">
        <f t="shared" si="4"/>
        <v>2007</v>
      </c>
      <c r="C32" s="54">
        <v>2.1000000000000001E-2</v>
      </c>
      <c r="D32" s="69"/>
    </row>
    <row r="33" spans="2:7" x14ac:dyDescent="0.3">
      <c r="B33" s="82">
        <f t="shared" si="4"/>
        <v>2006</v>
      </c>
      <c r="C33" s="54">
        <v>2.3E-2</v>
      </c>
      <c r="D33" s="69"/>
    </row>
    <row r="34" spans="2:7" x14ac:dyDescent="0.3">
      <c r="B34" s="82">
        <f t="shared" si="4"/>
        <v>2005</v>
      </c>
      <c r="C34" s="54">
        <v>1.7000000000000001E-2</v>
      </c>
      <c r="D34" s="69"/>
    </row>
    <row r="35" spans="2:7" x14ac:dyDescent="0.3">
      <c r="B35" s="82">
        <f t="shared" si="4"/>
        <v>2004</v>
      </c>
      <c r="C35" s="54">
        <v>3.2000000000000001E-2</v>
      </c>
      <c r="D35" s="69"/>
    </row>
    <row r="36" spans="2:7" x14ac:dyDescent="0.3">
      <c r="B36" s="82">
        <f t="shared" si="4"/>
        <v>2003</v>
      </c>
      <c r="C36" s="54">
        <v>1.6E-2</v>
      </c>
      <c r="D36" s="69"/>
    </row>
    <row r="37" spans="2:7" x14ac:dyDescent="0.3">
      <c r="B37" s="82">
        <f t="shared" si="4"/>
        <v>2002</v>
      </c>
      <c r="C37" s="54">
        <v>0.03</v>
      </c>
      <c r="D37" s="69"/>
    </row>
    <row r="38" spans="2:7" x14ac:dyDescent="0.3">
      <c r="B38" s="82">
        <f t="shared" si="4"/>
        <v>2001</v>
      </c>
      <c r="C38" s="54">
        <v>2.5000000000000001E-2</v>
      </c>
      <c r="D38" s="69"/>
    </row>
    <row r="39" spans="2:7" x14ac:dyDescent="0.3">
      <c r="B39" s="82">
        <f t="shared" si="4"/>
        <v>2000</v>
      </c>
      <c r="C39" s="54">
        <v>1.6E-2</v>
      </c>
      <c r="D39" s="69"/>
      <c r="F39" s="3"/>
    </row>
    <row r="40" spans="2:7" ht="15" thickBot="1" x14ac:dyDescent="0.35">
      <c r="B40" s="82">
        <f t="shared" si="4"/>
        <v>1999</v>
      </c>
      <c r="C40" s="54">
        <v>9.0000000000000011E-3</v>
      </c>
      <c r="D40" s="69"/>
    </row>
    <row r="41" spans="2:7" ht="15" thickTop="1" x14ac:dyDescent="0.3">
      <c r="B41" s="82">
        <f t="shared" si="4"/>
        <v>1998</v>
      </c>
      <c r="C41" s="54">
        <v>1.9E-2</v>
      </c>
      <c r="D41" s="69"/>
      <c r="F41" s="109">
        <v>1253.5899999999999</v>
      </c>
      <c r="G41" t="s">
        <v>53</v>
      </c>
    </row>
    <row r="42" spans="2:7" ht="15" thickBot="1" x14ac:dyDescent="0.35">
      <c r="B42" s="82">
        <f t="shared" si="4"/>
        <v>1997</v>
      </c>
      <c r="C42" s="54">
        <v>1.4999999999999999E-2</v>
      </c>
      <c r="D42" s="69"/>
      <c r="F42" s="106">
        <f>F41*12</f>
        <v>15043.079999999998</v>
      </c>
      <c r="G42" t="s">
        <v>56</v>
      </c>
    </row>
    <row r="43" spans="2:7" ht="15.6" thickTop="1" thickBot="1" x14ac:dyDescent="0.35">
      <c r="B43" s="82">
        <f t="shared" si="4"/>
        <v>1996</v>
      </c>
      <c r="C43" s="54">
        <v>2.3E-2</v>
      </c>
      <c r="D43" s="69"/>
    </row>
    <row r="44" spans="2:7" ht="15" thickTop="1" x14ac:dyDescent="0.3">
      <c r="B44" s="82">
        <f t="shared" si="4"/>
        <v>1995</v>
      </c>
      <c r="C44" s="54">
        <v>1.0000000000000001E-32</v>
      </c>
      <c r="D44" s="69"/>
      <c r="F44" s="103">
        <v>6.0000000000000001E-3</v>
      </c>
      <c r="G44" t="s">
        <v>32</v>
      </c>
    </row>
    <row r="45" spans="2:7" x14ac:dyDescent="0.3">
      <c r="B45" s="82">
        <f t="shared" si="4"/>
        <v>1994</v>
      </c>
      <c r="C45" s="54">
        <v>1.9E-2</v>
      </c>
      <c r="D45" s="69"/>
      <c r="F45" s="104">
        <v>60</v>
      </c>
      <c r="G45" t="s">
        <v>33</v>
      </c>
    </row>
    <row r="46" spans="2:7" x14ac:dyDescent="0.3">
      <c r="B46" s="82">
        <f t="shared" si="4"/>
        <v>1993</v>
      </c>
      <c r="C46" s="54">
        <v>1.8000000000000002E-2</v>
      </c>
      <c r="D46" s="69"/>
      <c r="F46" s="105">
        <f>IF(F45&gt;=1,F41-(F41*F44*F45),0)</f>
        <v>802.29759999999987</v>
      </c>
      <c r="G46" t="s">
        <v>54</v>
      </c>
    </row>
    <row r="47" spans="2:7" ht="15" thickBot="1" x14ac:dyDescent="0.35">
      <c r="B47" s="83">
        <f t="shared" si="4"/>
        <v>1992</v>
      </c>
      <c r="C47" s="55">
        <v>5.7999999999999996E-2</v>
      </c>
      <c r="D47" s="69"/>
      <c r="F47" s="106">
        <f>F41-F46</f>
        <v>451.29240000000004</v>
      </c>
      <c r="G47" t="s">
        <v>28</v>
      </c>
    </row>
    <row r="48" spans="2:7" ht="15.6" thickTop="1" thickBot="1" x14ac:dyDescent="0.35">
      <c r="B48" s="82">
        <f t="shared" si="4"/>
        <v>1991</v>
      </c>
      <c r="C48" s="54">
        <v>4.8000000000000001E-2</v>
      </c>
      <c r="D48" s="69"/>
    </row>
    <row r="49" spans="2:7" ht="15" thickTop="1" x14ac:dyDescent="0.3">
      <c r="B49" s="82">
        <f t="shared" si="4"/>
        <v>1990</v>
      </c>
      <c r="C49" s="54">
        <v>4.8000000000000001E-2</v>
      </c>
      <c r="D49" s="69"/>
      <c r="F49" s="110">
        <f>F46*12</f>
        <v>9627.5711999999985</v>
      </c>
      <c r="G49" t="s">
        <v>57</v>
      </c>
    </row>
    <row r="50" spans="2:7" ht="15" thickBot="1" x14ac:dyDescent="0.35">
      <c r="B50" s="82">
        <f t="shared" si="4"/>
        <v>1989</v>
      </c>
      <c r="C50" s="54">
        <v>4.0999999999999995E-2</v>
      </c>
      <c r="D50" s="69"/>
      <c r="F50" s="106">
        <f>F47*12</f>
        <v>5415.5088000000005</v>
      </c>
      <c r="G50" t="s">
        <v>58</v>
      </c>
    </row>
    <row r="51" spans="2:7" ht="15" thickTop="1" x14ac:dyDescent="0.3">
      <c r="B51" s="82">
        <f t="shared" si="4"/>
        <v>1988</v>
      </c>
      <c r="C51" s="54">
        <v>4.4000000000000004E-2</v>
      </c>
      <c r="D51" s="69"/>
    </row>
    <row r="52" spans="2:7" ht="15" thickBot="1" x14ac:dyDescent="0.35">
      <c r="B52" s="82">
        <f t="shared" si="4"/>
        <v>1987</v>
      </c>
      <c r="C52" s="54">
        <v>4.0999999999999995E-2</v>
      </c>
      <c r="D52" s="69"/>
    </row>
    <row r="53" spans="2:7" ht="15" thickTop="1" x14ac:dyDescent="0.3">
      <c r="B53" s="82">
        <f t="shared" si="4"/>
        <v>1986</v>
      </c>
      <c r="C53" s="54">
        <v>0.04</v>
      </c>
      <c r="D53" s="69"/>
      <c r="F53" s="107">
        <v>7.0000000000000001E-3</v>
      </c>
      <c r="G53" t="s">
        <v>29</v>
      </c>
    </row>
    <row r="54" spans="2:7" x14ac:dyDescent="0.3">
      <c r="B54" s="82">
        <f t="shared" si="4"/>
        <v>1985</v>
      </c>
      <c r="C54" s="54">
        <v>4.4000000000000004E-2</v>
      </c>
      <c r="D54" s="69"/>
      <c r="F54" s="108">
        <v>60</v>
      </c>
      <c r="G54" t="s">
        <v>30</v>
      </c>
    </row>
    <row r="55" spans="2:7" x14ac:dyDescent="0.3">
      <c r="B55" s="82">
        <f t="shared" si="4"/>
        <v>1984</v>
      </c>
      <c r="C55" s="54">
        <v>6.7000000000000004E-2</v>
      </c>
      <c r="D55" s="69"/>
      <c r="F55" s="105">
        <f>F41+F56</f>
        <v>1980.6722</v>
      </c>
      <c r="G55" t="s">
        <v>54</v>
      </c>
    </row>
    <row r="56" spans="2:7" ht="15" thickBot="1" x14ac:dyDescent="0.35">
      <c r="B56" s="82">
        <f t="shared" si="4"/>
        <v>1983</v>
      </c>
      <c r="C56" s="54">
        <v>0.11199999999999999</v>
      </c>
      <c r="D56" s="69"/>
      <c r="F56" s="106">
        <f>IF(F54&gt;=1,F41-(F41*F53*F54),0)</f>
        <v>727.08219999999994</v>
      </c>
      <c r="G56" t="s">
        <v>55</v>
      </c>
    </row>
    <row r="57" spans="2:7" ht="15.6" thickTop="1" thickBot="1" x14ac:dyDescent="0.35">
      <c r="B57" s="82">
        <f t="shared" si="4"/>
        <v>1982</v>
      </c>
      <c r="C57" s="54">
        <v>0.12300000000000001</v>
      </c>
      <c r="D57" s="69"/>
    </row>
    <row r="58" spans="2:7" ht="15" thickTop="1" x14ac:dyDescent="0.3">
      <c r="B58" s="82">
        <f t="shared" si="4"/>
        <v>1981</v>
      </c>
      <c r="C58" s="54">
        <v>9.9000000000000005E-2</v>
      </c>
      <c r="D58" s="69"/>
      <c r="F58" s="110">
        <f>F55*12</f>
        <v>23768.0664</v>
      </c>
      <c r="G58" t="s">
        <v>57</v>
      </c>
    </row>
    <row r="59" spans="2:7" ht="15" thickBot="1" x14ac:dyDescent="0.35">
      <c r="B59" s="82">
        <f t="shared" si="4"/>
        <v>1980</v>
      </c>
      <c r="C59" s="54">
        <v>0.09</v>
      </c>
      <c r="D59" s="69"/>
      <c r="F59" s="106">
        <f>F56*12</f>
        <v>8724.9863999999998</v>
      </c>
      <c r="G59" t="s">
        <v>59</v>
      </c>
    </row>
    <row r="60" spans="2:7" ht="15" thickTop="1" x14ac:dyDescent="0.3">
      <c r="B60" s="82">
        <f t="shared" si="4"/>
        <v>1979</v>
      </c>
      <c r="C60" s="54">
        <v>0.09</v>
      </c>
      <c r="D60" s="69"/>
    </row>
    <row r="61" spans="2:7" x14ac:dyDescent="0.3">
      <c r="B61" s="82">
        <f t="shared" si="4"/>
        <v>1978</v>
      </c>
      <c r="C61" s="54">
        <v>7.4999999999999997E-2</v>
      </c>
      <c r="D61" s="69"/>
    </row>
    <row r="62" spans="2:7" x14ac:dyDescent="0.3">
      <c r="B62" s="82">
        <f t="shared" si="4"/>
        <v>1977</v>
      </c>
      <c r="C62" s="54">
        <v>8.199999999999999E-2</v>
      </c>
      <c r="D62" s="69"/>
      <c r="E62" s="40"/>
    </row>
    <row r="63" spans="2:7" x14ac:dyDescent="0.3">
      <c r="B63" s="82">
        <f t="shared" si="4"/>
        <v>1976</v>
      </c>
      <c r="C63" s="54">
        <v>0.11199999999999999</v>
      </c>
    </row>
    <row r="64" spans="2:7" x14ac:dyDescent="0.3">
      <c r="B64" s="82">
        <f t="shared" si="4"/>
        <v>1975</v>
      </c>
      <c r="C64" s="54">
        <v>0.10400000000000001</v>
      </c>
    </row>
    <row r="65" spans="2:7" x14ac:dyDescent="0.3">
      <c r="B65" s="82">
        <f t="shared" si="4"/>
        <v>1974</v>
      </c>
      <c r="C65" s="54">
        <v>8.199999999999999E-2</v>
      </c>
    </row>
    <row r="66" spans="2:7" x14ac:dyDescent="0.3">
      <c r="D66" s="40"/>
      <c r="E66" s="87"/>
      <c r="G66" s="40"/>
    </row>
    <row r="67" spans="2:7" x14ac:dyDescent="0.3">
      <c r="D67" s="40"/>
      <c r="E67" s="87"/>
      <c r="G67" s="40"/>
    </row>
    <row r="68" spans="2:7" x14ac:dyDescent="0.3">
      <c r="D68" s="40"/>
      <c r="E68" s="87"/>
      <c r="G68" s="40"/>
    </row>
    <row r="69" spans="2:7" x14ac:dyDescent="0.3">
      <c r="D69" s="40"/>
      <c r="E69" s="87"/>
      <c r="G69" s="40"/>
    </row>
    <row r="70" spans="2:7" x14ac:dyDescent="0.3">
      <c r="D70" s="40"/>
      <c r="E70" s="87"/>
      <c r="G70" s="40"/>
    </row>
    <row r="71" spans="2:7" x14ac:dyDescent="0.3">
      <c r="D71" s="40"/>
      <c r="E71" s="87"/>
      <c r="G71" s="40"/>
    </row>
    <row r="72" spans="2:7" x14ac:dyDescent="0.3">
      <c r="D72" s="40"/>
      <c r="E72" s="87"/>
      <c r="G72" s="40"/>
    </row>
    <row r="73" spans="2:7" x14ac:dyDescent="0.3">
      <c r="D73" s="40"/>
      <c r="E73" s="87"/>
      <c r="G73" s="40"/>
    </row>
    <row r="74" spans="2:7" x14ac:dyDescent="0.3">
      <c r="D74" s="40"/>
      <c r="E74" s="87"/>
      <c r="G74" s="40"/>
    </row>
    <row r="75" spans="2:7" x14ac:dyDescent="0.3">
      <c r="D75" s="40"/>
      <c r="E75" s="87"/>
      <c r="G75" s="40"/>
    </row>
    <row r="76" spans="2:7" x14ac:dyDescent="0.3">
      <c r="D76" s="40"/>
      <c r="E76" s="87"/>
      <c r="G76" s="40"/>
    </row>
    <row r="77" spans="2:7" x14ac:dyDescent="0.3">
      <c r="D77" s="40"/>
      <c r="E77" s="87"/>
      <c r="G77" s="40"/>
    </row>
    <row r="78" spans="2:7" x14ac:dyDescent="0.3">
      <c r="D78" s="40"/>
      <c r="E78" s="87"/>
      <c r="G78" s="40"/>
    </row>
    <row r="79" spans="2:7" x14ac:dyDescent="0.3">
      <c r="D79" s="40"/>
      <c r="E79" s="87"/>
      <c r="G79" s="40"/>
    </row>
    <row r="80" spans="2:7" x14ac:dyDescent="0.3">
      <c r="D80" s="40"/>
      <c r="E80" s="87"/>
      <c r="G80" s="40"/>
    </row>
    <row r="81" spans="4:7" x14ac:dyDescent="0.3">
      <c r="D81" s="40"/>
      <c r="E81" s="87"/>
      <c r="G81" s="40"/>
    </row>
    <row r="82" spans="4:7" x14ac:dyDescent="0.3">
      <c r="D82" s="40"/>
      <c r="E82" s="87"/>
      <c r="G82" s="40"/>
    </row>
    <row r="83" spans="4:7" x14ac:dyDescent="0.3">
      <c r="D83" s="40"/>
      <c r="E83" s="87"/>
      <c r="G83" s="40"/>
    </row>
    <row r="84" spans="4:7" x14ac:dyDescent="0.3">
      <c r="D84" s="40"/>
      <c r="E84" s="87"/>
      <c r="G84" s="40"/>
    </row>
    <row r="85" spans="4:7" x14ac:dyDescent="0.3">
      <c r="D85" s="40"/>
      <c r="E85" s="87"/>
      <c r="G85" s="40"/>
    </row>
    <row r="86" spans="4:7" x14ac:dyDescent="0.3">
      <c r="D86" s="40"/>
      <c r="E86" s="87"/>
      <c r="G86" s="40"/>
    </row>
    <row r="87" spans="4:7" x14ac:dyDescent="0.3">
      <c r="D87" s="40"/>
      <c r="E87" s="87"/>
      <c r="G87" s="40"/>
    </row>
    <row r="88" spans="4:7" x14ac:dyDescent="0.3">
      <c r="D88" s="40"/>
      <c r="E88" s="87"/>
      <c r="G88" s="40"/>
    </row>
    <row r="89" spans="4:7" x14ac:dyDescent="0.3">
      <c r="D89" s="40"/>
      <c r="E89" s="87"/>
      <c r="G89" s="40"/>
    </row>
    <row r="90" spans="4:7" x14ac:dyDescent="0.3">
      <c r="D90" s="40"/>
      <c r="E90" s="87"/>
      <c r="G90" s="40"/>
    </row>
    <row r="91" spans="4:7" x14ac:dyDescent="0.3">
      <c r="D91" s="40"/>
      <c r="E91" s="87"/>
      <c r="G91" s="40"/>
    </row>
    <row r="92" spans="4:7" x14ac:dyDescent="0.3">
      <c r="D92" s="40"/>
      <c r="E92" s="87"/>
      <c r="G92" s="40"/>
    </row>
    <row r="93" spans="4:7" x14ac:dyDescent="0.3">
      <c r="D93" s="40"/>
      <c r="E93" s="87"/>
      <c r="G93" s="40"/>
    </row>
    <row r="94" spans="4:7" x14ac:dyDescent="0.3">
      <c r="D94" s="40"/>
      <c r="E94" s="87"/>
      <c r="G94" s="40"/>
    </row>
    <row r="95" spans="4:7" x14ac:dyDescent="0.3">
      <c r="D95" s="40"/>
      <c r="E95" s="87"/>
      <c r="G95" s="40"/>
    </row>
    <row r="96" spans="4:7" x14ac:dyDescent="0.3">
      <c r="D96" s="40"/>
      <c r="E96" s="87"/>
      <c r="G96" s="40"/>
    </row>
    <row r="97" spans="4:7" x14ac:dyDescent="0.3">
      <c r="D97" s="40"/>
      <c r="E97" s="87"/>
      <c r="G97" s="40"/>
    </row>
    <row r="98" spans="4:7" x14ac:dyDescent="0.3">
      <c r="D98" s="40"/>
      <c r="E98" s="87"/>
      <c r="G98" s="40"/>
    </row>
    <row r="99" spans="4:7" x14ac:dyDescent="0.3">
      <c r="D99" s="40"/>
      <c r="E99" s="87"/>
      <c r="G99" s="40"/>
    </row>
    <row r="100" spans="4:7" x14ac:dyDescent="0.3">
      <c r="D100" s="40"/>
      <c r="E100" s="87"/>
      <c r="G100" s="40"/>
    </row>
    <row r="101" spans="4:7" x14ac:dyDescent="0.3">
      <c r="D101" s="40"/>
      <c r="E101" s="87"/>
      <c r="G101" s="40"/>
    </row>
  </sheetData>
  <dataValidations count="1">
    <dataValidation type="whole" allowBlank="1" showInputMessage="1" showErrorMessage="1" sqref="F54 F45" xr:uid="{967A8EC0-8002-49B3-980F-D13FA0F25586}">
      <formula1>0</formula1>
      <formula2>60</formula2>
    </dataValidation>
  </dataValidations>
  <pageMargins left="0.7" right="0.7" top="0.75" bottom="0.75" header="0.3" footer="0.3"/>
  <pageSetup orientation="portrait" r:id="rId1"/>
  <ignoredErrors>
    <ignoredError sqref="H11" formula="1"/>
  </ignoredErrors>
  <tableParts count="1">
    <tablePart r:id="rId2"/>
  </tableParts>
</worksheet>
</file>

<file path=docMetadata/LabelInfo.xml><?xml version="1.0" encoding="utf-8"?>
<clbl:labelList xmlns:clbl="http://schemas.microsoft.com/office/2020/mipLabelMetadata">
  <clbl:label id="{068fa33a-09da-4f7d-a782-380be483c564}" enabled="0" method="" siteId="{068fa33a-09da-4f7d-a782-380be483c56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30</vt:i4>
      </vt:variant>
    </vt:vector>
  </HeadingPairs>
  <TitlesOfParts>
    <vt:vector size="38" baseType="lpstr">
      <vt:lpstr>Utilisation</vt:lpstr>
      <vt:lpstr>RREGOP</vt:lpstr>
      <vt:lpstr>RRQ</vt:lpstr>
      <vt:lpstr>PSV</vt:lpstr>
      <vt:lpstr>Support</vt:lpstr>
      <vt:lpstr>PP</vt:lpstr>
      <vt:lpstr>PP_Anglais</vt:lpstr>
      <vt:lpstr>Indexation</vt:lpstr>
      <vt:lpstr>_35__du_MGA</vt:lpstr>
      <vt:lpstr>Admissibilite</vt:lpstr>
      <vt:lpstr>Admissible_Oui_ou_Non</vt:lpstr>
      <vt:lpstr>Age_Ret</vt:lpstr>
      <vt:lpstr>Année</vt:lpstr>
      <vt:lpstr>Critère_retenu</vt:lpstr>
      <vt:lpstr>Date_dernier</vt:lpstr>
      <vt:lpstr>Date_Naissance</vt:lpstr>
      <vt:lpstr>Date_retraite</vt:lpstr>
      <vt:lpstr>Date_salaire_colonne</vt:lpstr>
      <vt:lpstr>Estimation</vt:lpstr>
      <vt:lpstr>Estimation_sans_réduction</vt:lpstr>
      <vt:lpstr>Exemption</vt:lpstr>
      <vt:lpstr>Facteur_de_réduction</vt:lpstr>
      <vt:lpstr>MGA</vt:lpstr>
      <vt:lpstr>Moyenne_automatique</vt:lpstr>
      <vt:lpstr>Moyenne_manuelle</vt:lpstr>
      <vt:lpstr>Moyenne_salariale</vt:lpstr>
      <vt:lpstr>Naissance</vt:lpstr>
      <vt:lpstr>Reduction</vt:lpstr>
      <vt:lpstr>Reduction_en_dollars</vt:lpstr>
      <vt:lpstr>Salaire_10_20</vt:lpstr>
      <vt:lpstr>Service</vt:lpstr>
      <vt:lpstr>Services_calcul</vt:lpstr>
      <vt:lpstr>TAIR</vt:lpstr>
      <vt:lpstr>Taux_de_cotisation</vt:lpstr>
      <vt:lpstr>PSV!Zone_d_impression</vt:lpstr>
      <vt:lpstr>RREGOP!Zone_d_impression</vt:lpstr>
      <vt:lpstr>RRQ!Zone_d_impression</vt:lpstr>
      <vt:lpstr>Utilisation!Zone_d_impression</vt:lpstr>
    </vt:vector>
  </TitlesOfParts>
  <Company>CSN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Légaré</dc:creator>
  <cp:lastModifiedBy>Marie-Pier Dalpé</cp:lastModifiedBy>
  <cp:lastPrinted>2024-04-30T01:44:41Z</cp:lastPrinted>
  <dcterms:created xsi:type="dcterms:W3CDTF">2015-01-12T13:21:17Z</dcterms:created>
  <dcterms:modified xsi:type="dcterms:W3CDTF">2024-06-11T17:47:44Z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cdce3b-58a5-4cf0-93a9-0095c2fa4427_Enabled">
    <vt:lpwstr>true</vt:lpwstr>
  </property>
  <property fmtid="{D5CDD505-2E9C-101B-9397-08002B2CF9AE}" pid="3" name="MSIP_Label_f7cdce3b-58a5-4cf0-93a9-0095c2fa4427_SetDate">
    <vt:lpwstr>2024-05-23T15:42:28Z</vt:lpwstr>
  </property>
  <property fmtid="{D5CDD505-2E9C-101B-9397-08002B2CF9AE}" pid="4" name="MSIP_Label_f7cdce3b-58a5-4cf0-93a9-0095c2fa4427_Method">
    <vt:lpwstr>Standard</vt:lpwstr>
  </property>
  <property fmtid="{D5CDD505-2E9C-101B-9397-08002B2CF9AE}" pid="5" name="MSIP_Label_f7cdce3b-58a5-4cf0-93a9-0095c2fa4427_Name">
    <vt:lpwstr>defa4170-0d19-0005-0004-bc88714345d2</vt:lpwstr>
  </property>
  <property fmtid="{D5CDD505-2E9C-101B-9397-08002B2CF9AE}" pid="6" name="MSIP_Label_f7cdce3b-58a5-4cf0-93a9-0095c2fa4427_SiteId">
    <vt:lpwstr>b2476ee2-053c-4798-81e9-86f49aa39a12</vt:lpwstr>
  </property>
  <property fmtid="{D5CDD505-2E9C-101B-9397-08002B2CF9AE}" pid="7" name="MSIP_Label_f7cdce3b-58a5-4cf0-93a9-0095c2fa4427_ActionId">
    <vt:lpwstr>de04003b-46a5-483a-ae88-730785aeee3e</vt:lpwstr>
  </property>
  <property fmtid="{D5CDD505-2E9C-101B-9397-08002B2CF9AE}" pid="8" name="MSIP_Label_f7cdce3b-58a5-4cf0-93a9-0095c2fa4427_ContentBits">
    <vt:lpwstr>0</vt:lpwstr>
  </property>
</Properties>
</file>