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T:\FNEEQ_General\COMITÉS FÉDÉRAUX\CFARR\Renouvèlement\2023\Calclateur de prime 2023\"/>
    </mc:Choice>
  </mc:AlternateContent>
  <xr:revisionPtr revIDLastSave="0" documentId="13_ncr:1_{D4EDF19C-10D1-49B7-B06C-DCFCE793C546}" xr6:coauthVersionLast="47" xr6:coauthVersionMax="47" xr10:uidLastSave="{00000000-0000-0000-0000-000000000000}"/>
  <workbookProtection workbookAlgorithmName="SHA-512" workbookHashValue="/kNKnM/MJCLoAfDvPymDN+ikeA+Eqhxf0w4gFDCe4MifPmv8m1iCdpv/cS0PCQZQYAcr7PKjg9S9vepavvMztA==" workbookSaltValue="aRNsM0YFFpeEgpTn2tQB0g==" workbookSpinCount="100000" lockStructure="1"/>
  <bookViews>
    <workbookView xWindow="-120" yWindow="-120" windowWidth="38640" windowHeight="15840" tabRatio="707" xr2:uid="{00000000-000D-0000-FFFF-FFFF00000000}"/>
  </bookViews>
  <sheets>
    <sheet name="Calculateur" sheetId="1" r:id="rId1"/>
    <sheet name="Taux" sheetId="2" state="hidden" r:id="rId2"/>
    <sheet name="Nouveau taux" sheetId="5" state="hidden" r:id="rId3"/>
    <sheet name="Calculator" sheetId="9" state="hidden" r:id="rId4"/>
    <sheet name="Taux anglais" sheetId="8" state="hidden" r:id="rId5"/>
    <sheet name="PDF de La Capitale" sheetId="13" state="hidden" r:id="rId6"/>
  </sheets>
  <definedNames>
    <definedName name="Courte_LaSalle">Taux!$C$32</definedName>
    <definedName name="Courte_Laval">Taux!$C$31</definedName>
    <definedName name="Courte_Les_autres">Taux!$C$35</definedName>
    <definedName name="Courte_Trinité">Taux!$C$33</definedName>
    <definedName name="Taux_courte">Taux!$B$31:$C$36</definedName>
    <definedName name="Taux_courte_anglais">'Taux anglais'!$B$32:$C$37</definedName>
    <definedName name="_xlnm.Print_Area" localSheetId="0">Calculateur!$A$3:$AD$121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5" i="9" l="1"/>
  <c r="S19" i="9"/>
  <c r="S19" i="1"/>
  <c r="W19" i="9"/>
  <c r="W19" i="1"/>
  <c r="D25" i="9"/>
  <c r="D25" i="1"/>
  <c r="V7" i="9"/>
  <c r="M7" i="9"/>
  <c r="M19" i="9"/>
  <c r="W9" i="1"/>
  <c r="M9" i="1"/>
  <c r="M19" i="1"/>
  <c r="F27" i="8"/>
  <c r="F27" i="2"/>
  <c r="O36" i="9"/>
  <c r="D42" i="9"/>
  <c r="O36" i="1"/>
  <c r="C45" i="8"/>
  <c r="C37" i="8" s="1"/>
  <c r="C44" i="8"/>
  <c r="C36" i="8" s="1"/>
  <c r="C43" i="8"/>
  <c r="C35" i="8" s="1"/>
  <c r="C42" i="8"/>
  <c r="C34" i="8" s="1"/>
  <c r="C41" i="8"/>
  <c r="C33" i="8" s="1"/>
  <c r="C40" i="8"/>
  <c r="C32" i="8" s="1"/>
  <c r="F37" i="8"/>
  <c r="F36" i="8"/>
  <c r="F35" i="8"/>
  <c r="F34" i="8"/>
  <c r="F33" i="8"/>
  <c r="F32" i="8"/>
  <c r="D42" i="1"/>
  <c r="D40" i="1"/>
  <c r="C35" i="2"/>
  <c r="C34" i="2"/>
  <c r="C33" i="2"/>
  <c r="C32" i="2"/>
  <c r="C31" i="2"/>
  <c r="G27" i="2" l="1"/>
  <c r="V30" i="1" s="1"/>
  <c r="M7" i="5"/>
  <c r="M5" i="5"/>
  <c r="Q15" i="2" s="1"/>
  <c r="M6" i="5"/>
  <c r="Q16" i="2" s="1"/>
  <c r="V49" i="1"/>
  <c r="B92" i="1"/>
  <c r="P25" i="2" l="1"/>
  <c r="P25" i="8"/>
  <c r="B91" i="9"/>
  <c r="C20" i="5" l="1"/>
  <c r="C22" i="5"/>
  <c r="C9" i="8" l="1"/>
  <c r="C9" i="2"/>
  <c r="V60" i="1" l="1"/>
  <c r="W60" i="1" s="1"/>
  <c r="G27" i="8"/>
  <c r="V29" i="9" s="1"/>
  <c r="D38" i="1" l="1"/>
  <c r="D36" i="1"/>
  <c r="D34" i="1"/>
  <c r="D40" i="9"/>
  <c r="D38" i="9"/>
  <c r="D36" i="9"/>
  <c r="D34" i="9"/>
  <c r="L46" i="2"/>
  <c r="B93" i="1" l="1"/>
  <c r="B108" i="9" l="1"/>
  <c r="B92" i="9"/>
  <c r="Q5" i="9"/>
  <c r="D6" i="8"/>
  <c r="D9" i="8" s="1"/>
  <c r="D6" i="2"/>
  <c r="D9" i="2" s="1"/>
  <c r="R19" i="8" l="1"/>
  <c r="R19" i="2"/>
  <c r="V4" i="9"/>
  <c r="R4" i="9"/>
  <c r="Q3" i="9" s="1"/>
  <c r="L4" i="9"/>
  <c r="B109" i="1"/>
  <c r="L4" i="1"/>
  <c r="D65" i="1" l="1"/>
  <c r="Q6" i="1" l="1"/>
  <c r="V4" i="1"/>
  <c r="R4" i="1"/>
  <c r="Q3" i="1" s="1"/>
  <c r="P49" i="8"/>
  <c r="C36" i="2" l="1"/>
  <c r="AC36" i="1"/>
  <c r="AC38" i="1" s="1"/>
  <c r="E22" i="5" l="1"/>
  <c r="D22" i="5"/>
  <c r="E21" i="5"/>
  <c r="D21" i="5"/>
  <c r="E20" i="5"/>
  <c r="D20" i="5"/>
  <c r="E19" i="5"/>
  <c r="D19" i="5"/>
  <c r="AA27" i="1"/>
  <c r="V49" i="9" l="1"/>
  <c r="V60" i="9" l="1"/>
  <c r="W60" i="9" s="1"/>
  <c r="X105" i="9"/>
  <c r="W50" i="8" s="1"/>
  <c r="X99" i="9"/>
  <c r="M105" i="9"/>
  <c r="M99" i="9"/>
  <c r="F99" i="9"/>
  <c r="W38" i="8"/>
  <c r="W39" i="8" s="1"/>
  <c r="W40" i="8" s="1"/>
  <c r="W41" i="8" s="1"/>
  <c r="W42" i="8" s="1"/>
  <c r="W43" i="8" s="1"/>
  <c r="W44" i="8" s="1"/>
  <c r="W45" i="8" s="1"/>
  <c r="W46" i="8" s="1"/>
  <c r="V38" i="8"/>
  <c r="V39" i="8" s="1"/>
  <c r="V40" i="8" s="1"/>
  <c r="V41" i="8" s="1"/>
  <c r="V42" i="8" s="1"/>
  <c r="V43" i="8" s="1"/>
  <c r="P51" i="8"/>
  <c r="X89" i="9"/>
  <c r="W48" i="8" s="1"/>
  <c r="X83" i="9"/>
  <c r="M89" i="9"/>
  <c r="M83" i="9"/>
  <c r="F83" i="9"/>
  <c r="F73" i="9"/>
  <c r="W56" i="9"/>
  <c r="Q17" i="8"/>
  <c r="F60" i="9"/>
  <c r="F47" i="9"/>
  <c r="N40" i="8"/>
  <c r="N46" i="8"/>
  <c r="N54" i="8"/>
  <c r="L54" i="8"/>
  <c r="L46" i="8"/>
  <c r="L40" i="8"/>
  <c r="L28" i="8"/>
  <c r="L18" i="8"/>
  <c r="L9" i="8"/>
  <c r="I31" i="8"/>
  <c r="B9" i="8"/>
  <c r="V69" i="9" l="1"/>
  <c r="S58" i="9"/>
  <c r="D65" i="9"/>
  <c r="Y83" i="9"/>
  <c r="Y99" i="9"/>
  <c r="V45" i="8"/>
  <c r="Y80" i="9" s="1"/>
  <c r="Y96" i="9"/>
  <c r="V47" i="8"/>
  <c r="S56" i="9"/>
  <c r="N21" i="8" s="1"/>
  <c r="Q21" i="8" s="1"/>
  <c r="M54" i="8"/>
  <c r="O54" i="8"/>
  <c r="Q18" i="8" l="1"/>
  <c r="V62" i="9" s="1"/>
  <c r="R50" i="8"/>
  <c r="I29" i="5"/>
  <c r="I30" i="5"/>
  <c r="I31" i="5"/>
  <c r="I32" i="5"/>
  <c r="C115" i="5"/>
  <c r="U57" i="5"/>
  <c r="U50" i="5"/>
  <c r="U49" i="5"/>
  <c r="U48" i="5"/>
  <c r="U47" i="5"/>
  <c r="S28" i="5"/>
  <c r="P42" i="5"/>
  <c r="P62" i="5" s="1"/>
  <c r="O42" i="5"/>
  <c r="O62" i="5" s="1"/>
  <c r="N42" i="5"/>
  <c r="N62" i="5" s="1"/>
  <c r="M42" i="5"/>
  <c r="M62" i="5" s="1"/>
  <c r="P41" i="5"/>
  <c r="P61" i="5" s="1"/>
  <c r="O41" i="5"/>
  <c r="O61" i="5" s="1"/>
  <c r="N41" i="5"/>
  <c r="N61" i="5" s="1"/>
  <c r="M41" i="5"/>
  <c r="M61" i="5" s="1"/>
  <c r="P40" i="5"/>
  <c r="P60" i="5" s="1"/>
  <c r="O40" i="5"/>
  <c r="O60" i="5" s="1"/>
  <c r="N40" i="5"/>
  <c r="R45" i="2" s="1"/>
  <c r="R45" i="8" s="1"/>
  <c r="M40" i="5"/>
  <c r="M60" i="5" s="1"/>
  <c r="P39" i="5"/>
  <c r="P59" i="5" s="1"/>
  <c r="O39" i="5"/>
  <c r="O59" i="5" s="1"/>
  <c r="N39" i="5"/>
  <c r="R44" i="2" s="1"/>
  <c r="R44" i="8" s="1"/>
  <c r="M39" i="5"/>
  <c r="M59" i="5" s="1"/>
  <c r="P38" i="5"/>
  <c r="P58" i="5" s="1"/>
  <c r="O38" i="5"/>
  <c r="O58" i="5" s="1"/>
  <c r="N38" i="5"/>
  <c r="N58" i="5" s="1"/>
  <c r="M38" i="5"/>
  <c r="M58" i="5" s="1"/>
  <c r="P37" i="5"/>
  <c r="P57" i="5" s="1"/>
  <c r="O37" i="5"/>
  <c r="O57" i="5" s="1"/>
  <c r="N37" i="5"/>
  <c r="R42" i="2" s="1"/>
  <c r="R42" i="8" s="1"/>
  <c r="M37" i="5"/>
  <c r="M57" i="5" s="1"/>
  <c r="P36" i="5"/>
  <c r="P56" i="5" s="1"/>
  <c r="O36" i="5"/>
  <c r="O56" i="5" s="1"/>
  <c r="N36" i="5"/>
  <c r="N56" i="5" s="1"/>
  <c r="M36" i="5"/>
  <c r="M56" i="5" s="1"/>
  <c r="P35" i="5"/>
  <c r="P55" i="5" s="1"/>
  <c r="O35" i="5"/>
  <c r="O55" i="5" s="1"/>
  <c r="N35" i="5"/>
  <c r="N55" i="5" s="1"/>
  <c r="M35" i="5"/>
  <c r="M55" i="5" s="1"/>
  <c r="P34" i="5"/>
  <c r="P54" i="5" s="1"/>
  <c r="O34" i="5"/>
  <c r="O54" i="5" s="1"/>
  <c r="N34" i="5"/>
  <c r="N54" i="5" s="1"/>
  <c r="M34" i="5"/>
  <c r="M54" i="5" s="1"/>
  <c r="P33" i="5"/>
  <c r="P53" i="5" s="1"/>
  <c r="O33" i="5"/>
  <c r="O53" i="5" s="1"/>
  <c r="N33" i="5"/>
  <c r="N53" i="5" s="1"/>
  <c r="M33" i="5"/>
  <c r="Q38" i="2" s="1"/>
  <c r="Q38" i="8" s="1"/>
  <c r="L29" i="5"/>
  <c r="L49" i="5" s="1"/>
  <c r="M49" i="5" s="1"/>
  <c r="N49" i="5" s="1"/>
  <c r="R39" i="2" l="1"/>
  <c r="R39" i="8" s="1"/>
  <c r="R43" i="2"/>
  <c r="R43" i="8" s="1"/>
  <c r="R46" i="2"/>
  <c r="R46" i="8" s="1"/>
  <c r="N57" i="5"/>
  <c r="N60" i="5"/>
  <c r="S38" i="2"/>
  <c r="S38" i="8" s="1"/>
  <c r="S39" i="2"/>
  <c r="S39" i="8" s="1"/>
  <c r="S40" i="2"/>
  <c r="S40" i="8" s="1"/>
  <c r="S41" i="2"/>
  <c r="S41" i="8" s="1"/>
  <c r="S42" i="2"/>
  <c r="S42" i="8" s="1"/>
  <c r="S43" i="2"/>
  <c r="S43" i="8" s="1"/>
  <c r="V80" i="9" s="1"/>
  <c r="S44" i="2"/>
  <c r="S44" i="8" s="1"/>
  <c r="S45" i="2"/>
  <c r="S45" i="8" s="1"/>
  <c r="S46" i="2"/>
  <c r="S46" i="8" s="1"/>
  <c r="S47" i="2"/>
  <c r="S47" i="8" s="1"/>
  <c r="M53" i="5"/>
  <c r="R38" i="2"/>
  <c r="R38" i="8" s="1"/>
  <c r="R41" i="2"/>
  <c r="R41" i="8" s="1"/>
  <c r="N59" i="5"/>
  <c r="T38" i="2"/>
  <c r="T38" i="8" s="1"/>
  <c r="T39" i="2"/>
  <c r="T39" i="8" s="1"/>
  <c r="T40" i="2"/>
  <c r="T40" i="8" s="1"/>
  <c r="T41" i="2"/>
  <c r="T41" i="8" s="1"/>
  <c r="T42" i="2"/>
  <c r="T42" i="8" s="1"/>
  <c r="T43" i="2"/>
  <c r="T43" i="8" s="1"/>
  <c r="T44" i="2"/>
  <c r="T44" i="8" s="1"/>
  <c r="T45" i="2"/>
  <c r="T45" i="8" s="1"/>
  <c r="T46" i="2"/>
  <c r="T46" i="8" s="1"/>
  <c r="T47" i="2"/>
  <c r="T47" i="8" s="1"/>
  <c r="M50" i="5"/>
  <c r="R40" i="2"/>
  <c r="R40" i="8" s="1"/>
  <c r="R47" i="2"/>
  <c r="R47" i="8" s="1"/>
  <c r="Q39" i="2"/>
  <c r="Q39" i="8" s="1"/>
  <c r="Q40" i="2"/>
  <c r="Q40" i="8" s="1"/>
  <c r="Q41" i="2"/>
  <c r="Q41" i="8" s="1"/>
  <c r="Q42" i="2"/>
  <c r="Q42" i="8" s="1"/>
  <c r="Q43" i="2"/>
  <c r="Q43" i="8" s="1"/>
  <c r="R52" i="8" s="1"/>
  <c r="V96" i="9" s="1"/>
  <c r="AB105" i="9" s="1"/>
  <c r="AB108" i="9" s="1"/>
  <c r="Q44" i="2"/>
  <c r="Q44" i="8" s="1"/>
  <c r="Q45" i="2"/>
  <c r="Q45" i="8" s="1"/>
  <c r="Q46" i="2"/>
  <c r="Q46" i="8" s="1"/>
  <c r="Q47" i="2"/>
  <c r="Q47" i="8" s="1"/>
  <c r="S37" i="5"/>
  <c r="K28" i="2" s="1"/>
  <c r="K28" i="8" s="1"/>
  <c r="I33" i="8" s="1"/>
  <c r="V46" i="9" s="1"/>
  <c r="AB49" i="9" s="1"/>
  <c r="AB52" i="9" s="1"/>
  <c r="S29" i="5"/>
  <c r="C111" i="5"/>
  <c r="E111" i="5" s="1"/>
  <c r="S27" i="5"/>
  <c r="L28" i="5"/>
  <c r="L48" i="5" s="1"/>
  <c r="M48" i="5" s="1"/>
  <c r="N48" i="5" s="1"/>
  <c r="H32" i="5"/>
  <c r="H31" i="5"/>
  <c r="H30" i="5"/>
  <c r="H29" i="5"/>
  <c r="E44" i="5"/>
  <c r="D44" i="5"/>
  <c r="C44" i="5"/>
  <c r="E43" i="5"/>
  <c r="D43" i="5"/>
  <c r="C43" i="5"/>
  <c r="E42" i="5"/>
  <c r="D42" i="5"/>
  <c r="C42" i="5"/>
  <c r="E41" i="5"/>
  <c r="D41" i="5"/>
  <c r="C41" i="5"/>
  <c r="C37" i="5"/>
  <c r="E38" i="5"/>
  <c r="D38" i="5"/>
  <c r="C38" i="5"/>
  <c r="E37" i="5"/>
  <c r="D37" i="5"/>
  <c r="E36" i="5"/>
  <c r="D36" i="5"/>
  <c r="C36" i="5"/>
  <c r="E35" i="5"/>
  <c r="D35" i="5"/>
  <c r="C35" i="5"/>
  <c r="C55" i="5" s="1"/>
  <c r="F55" i="5" s="1"/>
  <c r="F56" i="5" s="1"/>
  <c r="E32" i="5"/>
  <c r="D32" i="5"/>
  <c r="C32" i="5"/>
  <c r="E31" i="5"/>
  <c r="D31" i="5"/>
  <c r="C31" i="5"/>
  <c r="E30" i="5"/>
  <c r="D30" i="5"/>
  <c r="C30" i="5"/>
  <c r="E29" i="5"/>
  <c r="D29" i="5"/>
  <c r="C29" i="5"/>
  <c r="AB107" i="9" l="1"/>
  <c r="AB89" i="9"/>
  <c r="AB92" i="9" s="1"/>
  <c r="C49" i="5"/>
  <c r="F49" i="5" s="1"/>
  <c r="F50" i="5" s="1"/>
  <c r="G4" i="2"/>
  <c r="G4" i="8" s="1"/>
  <c r="AB51" i="9"/>
  <c r="AB36" i="9"/>
  <c r="AB40" i="9" s="1"/>
  <c r="AB91" i="9" l="1"/>
  <c r="AB38" i="9"/>
  <c r="Q16" i="8"/>
  <c r="P5" i="2"/>
  <c r="P5" i="8" s="1"/>
  <c r="P6" i="2"/>
  <c r="P6" i="8" s="1"/>
  <c r="P7" i="2"/>
  <c r="P7" i="8" s="1"/>
  <c r="O11" i="8" s="1"/>
  <c r="AB23" i="9" s="1"/>
  <c r="I15" i="2"/>
  <c r="H15" i="2"/>
  <c r="G15" i="2"/>
  <c r="I14" i="2"/>
  <c r="H14" i="2"/>
  <c r="G14" i="2"/>
  <c r="I10" i="2"/>
  <c r="I10" i="8" s="1"/>
  <c r="I9" i="2"/>
  <c r="H9" i="2"/>
  <c r="G9" i="2"/>
  <c r="I8" i="2"/>
  <c r="H8" i="2"/>
  <c r="G8" i="2"/>
  <c r="H52" i="5"/>
  <c r="H51" i="5"/>
  <c r="H50" i="5"/>
  <c r="H49" i="5"/>
  <c r="J49" i="5" s="1"/>
  <c r="J50" i="5" s="1"/>
  <c r="E58" i="5"/>
  <c r="D58" i="5"/>
  <c r="G13" i="2"/>
  <c r="G13" i="8" s="1"/>
  <c r="I12" i="2"/>
  <c r="I12" i="8" s="1"/>
  <c r="D57" i="5"/>
  <c r="C57" i="5"/>
  <c r="E56" i="5"/>
  <c r="H11" i="2"/>
  <c r="H11" i="8" s="1"/>
  <c r="C56" i="5"/>
  <c r="E55" i="5"/>
  <c r="D55" i="5"/>
  <c r="G10" i="2"/>
  <c r="I7" i="2"/>
  <c r="I7" i="8" s="1"/>
  <c r="H7" i="2"/>
  <c r="H7" i="8" s="1"/>
  <c r="F22" i="8" s="1"/>
  <c r="AB11" i="9" s="1"/>
  <c r="AB15" i="9" s="1"/>
  <c r="G7" i="2"/>
  <c r="G7" i="8" s="1"/>
  <c r="E51" i="5"/>
  <c r="H6" i="2"/>
  <c r="H6" i="8" s="1"/>
  <c r="G6" i="2"/>
  <c r="G6" i="8" s="1"/>
  <c r="I5" i="2"/>
  <c r="I5" i="8" s="1"/>
  <c r="H5" i="2"/>
  <c r="H5" i="8" s="1"/>
  <c r="G5" i="2"/>
  <c r="G5" i="8" s="1"/>
  <c r="I4" i="2"/>
  <c r="I4" i="8" s="1"/>
  <c r="H4" i="2"/>
  <c r="H4" i="8" s="1"/>
  <c r="Q7" i="2"/>
  <c r="Q7" i="8" s="1"/>
  <c r="Q6" i="2"/>
  <c r="Q6" i="8" s="1"/>
  <c r="Q5" i="2"/>
  <c r="Q5" i="8" s="1"/>
  <c r="Q4" i="2"/>
  <c r="Q4" i="8" s="1"/>
  <c r="P4" i="2"/>
  <c r="P4" i="8" s="1"/>
  <c r="I19" i="2"/>
  <c r="I19" i="8" s="1"/>
  <c r="H19" i="2"/>
  <c r="H19" i="8" s="1"/>
  <c r="G19" i="2"/>
  <c r="G19" i="8" s="1"/>
  <c r="E63" i="5"/>
  <c r="H18" i="2"/>
  <c r="H18" i="8" s="1"/>
  <c r="G18" i="2"/>
  <c r="G18" i="8" s="1"/>
  <c r="I17" i="2"/>
  <c r="I17" i="8" s="1"/>
  <c r="H17" i="2"/>
  <c r="H17" i="8" s="1"/>
  <c r="G17" i="2"/>
  <c r="G17" i="8" s="1"/>
  <c r="I16" i="2"/>
  <c r="I16" i="8" s="1"/>
  <c r="H16" i="2"/>
  <c r="H16" i="8" s="1"/>
  <c r="C61" i="5"/>
  <c r="F61" i="5" s="1"/>
  <c r="F62" i="5" s="1"/>
  <c r="K102" i="1"/>
  <c r="K100" i="1"/>
  <c r="D102" i="1"/>
  <c r="D100" i="1"/>
  <c r="K86" i="1"/>
  <c r="K84" i="1"/>
  <c r="D86" i="1"/>
  <c r="D84" i="1"/>
  <c r="D62" i="1"/>
  <c r="D60" i="1"/>
  <c r="D23" i="1"/>
  <c r="D21" i="1"/>
  <c r="D19" i="1"/>
  <c r="S15" i="1"/>
  <c r="S13" i="1"/>
  <c r="S11" i="1"/>
  <c r="S9" i="1"/>
  <c r="D15" i="1"/>
  <c r="D13" i="1"/>
  <c r="D11" i="1"/>
  <c r="D9" i="1"/>
  <c r="N46" i="2"/>
  <c r="K106" i="1" s="1"/>
  <c r="N40" i="2"/>
  <c r="L40" i="2"/>
  <c r="F60" i="1"/>
  <c r="Y106" i="1"/>
  <c r="W50" i="2" s="1"/>
  <c r="N106" i="1"/>
  <c r="Y100" i="1"/>
  <c r="V47" i="2" s="1"/>
  <c r="N100" i="1"/>
  <c r="F100" i="1"/>
  <c r="N90" i="1"/>
  <c r="N84" i="1"/>
  <c r="F84" i="1"/>
  <c r="K92" i="1"/>
  <c r="O60" i="2"/>
  <c r="O61" i="2" s="1"/>
  <c r="Y90" i="1"/>
  <c r="W48" i="2" s="1"/>
  <c r="Y84" i="1"/>
  <c r="V45" i="2" s="1"/>
  <c r="L28" i="2"/>
  <c r="F73" i="1"/>
  <c r="D75" i="1"/>
  <c r="D73" i="1"/>
  <c r="X56" i="1"/>
  <c r="S58" i="1"/>
  <c r="L18" i="2"/>
  <c r="V69" i="1" s="1"/>
  <c r="D49" i="1"/>
  <c r="D47" i="1"/>
  <c r="I31" i="2" s="1"/>
  <c r="I33" i="2" s="1"/>
  <c r="F47" i="1"/>
  <c r="L9" i="2"/>
  <c r="AB26" i="9" l="1"/>
  <c r="D16" i="8"/>
  <c r="F24" i="8"/>
  <c r="L20" i="8"/>
  <c r="V67" i="9" s="1"/>
  <c r="G10" i="8"/>
  <c r="C17" i="8"/>
  <c r="B19" i="8"/>
  <c r="I49" i="5"/>
  <c r="I51" i="5"/>
  <c r="I50" i="5"/>
  <c r="I52" i="5"/>
  <c r="D62" i="5"/>
  <c r="H12" i="2"/>
  <c r="H12" i="8" s="1"/>
  <c r="C18" i="8" s="1"/>
  <c r="G16" i="2"/>
  <c r="G16" i="8" s="1"/>
  <c r="H13" i="2"/>
  <c r="H13" i="8" s="1"/>
  <c r="C19" i="8" s="1"/>
  <c r="G12" i="2"/>
  <c r="G12" i="8" s="1"/>
  <c r="B18" i="8" s="1"/>
  <c r="I18" i="2"/>
  <c r="I18" i="8" s="1"/>
  <c r="D18" i="8" s="1"/>
  <c r="G11" i="2"/>
  <c r="G11" i="8" s="1"/>
  <c r="B17" i="8" s="1"/>
  <c r="I13" i="2"/>
  <c r="I13" i="8" s="1"/>
  <c r="D19" i="8" s="1"/>
  <c r="D50" i="5"/>
  <c r="D56" i="5"/>
  <c r="E57" i="5"/>
  <c r="I6" i="2"/>
  <c r="I6" i="8" s="1"/>
  <c r="D49" i="5"/>
  <c r="C52" i="5"/>
  <c r="C58" i="5"/>
  <c r="E62" i="5"/>
  <c r="C50" i="5"/>
  <c r="D51" i="5"/>
  <c r="E52" i="5"/>
  <c r="C62" i="5"/>
  <c r="D63" i="5"/>
  <c r="E64" i="5"/>
  <c r="H10" i="2"/>
  <c r="H10" i="8" s="1"/>
  <c r="C16" i="8" s="1"/>
  <c r="I11" i="2"/>
  <c r="I11" i="8" s="1"/>
  <c r="D17" i="8" s="1"/>
  <c r="E50" i="5"/>
  <c r="D61" i="5"/>
  <c r="C64" i="5"/>
  <c r="E49" i="5"/>
  <c r="C51" i="5"/>
  <c r="D52" i="5"/>
  <c r="E61" i="5"/>
  <c r="C63" i="5"/>
  <c r="D64" i="5"/>
  <c r="K108" i="1"/>
  <c r="N54" i="2" s="1"/>
  <c r="O54" i="2" s="1"/>
  <c r="K90" i="1"/>
  <c r="L54" i="2" s="1"/>
  <c r="M54" i="2" s="1"/>
  <c r="S56" i="1"/>
  <c r="N21" i="2" s="1"/>
  <c r="O62" i="2"/>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 r="O94" i="2" s="1"/>
  <c r="O95" i="2" s="1"/>
  <c r="O96" i="2" s="1"/>
  <c r="O97" i="2" s="1"/>
  <c r="O98" i="2" s="1"/>
  <c r="O99" i="2" s="1"/>
  <c r="O100" i="2" s="1"/>
  <c r="O101" i="2" s="1"/>
  <c r="O102" i="2" s="1"/>
  <c r="O103" i="2" s="1"/>
  <c r="O104" i="2" s="1"/>
  <c r="O105" i="2" s="1"/>
  <c r="O106" i="2" s="1"/>
  <c r="O107" i="2" s="1"/>
  <c r="O108" i="2" s="1"/>
  <c r="O109" i="2" s="1"/>
  <c r="O110" i="2" s="1"/>
  <c r="G77" i="1"/>
  <c r="Z97" i="1"/>
  <c r="Z100" i="1"/>
  <c r="Z84" i="1"/>
  <c r="B16" i="2" l="1"/>
  <c r="AB25" i="9"/>
  <c r="B16" i="8"/>
  <c r="AB13" i="9"/>
  <c r="P51" i="2"/>
  <c r="R52" i="2" s="1"/>
  <c r="P49" i="2"/>
  <c r="R50" i="2" s="1"/>
  <c r="B9" i="2"/>
  <c r="V97" i="1" l="1"/>
  <c r="AC106" i="1" s="1"/>
  <c r="AC109" i="1" s="1"/>
  <c r="Z81" i="1"/>
  <c r="AC108" i="1" l="1"/>
  <c r="D78" i="1"/>
  <c r="C16" i="2"/>
  <c r="D16" i="2"/>
  <c r="C17" i="2"/>
  <c r="D17" i="2"/>
  <c r="C18" i="2"/>
  <c r="D18" i="2"/>
  <c r="C19" i="2"/>
  <c r="D19" i="2"/>
  <c r="B17" i="2"/>
  <c r="B18" i="2"/>
  <c r="B19" i="2"/>
  <c r="V46" i="1"/>
  <c r="AC49" i="1" s="1"/>
  <c r="AC52" i="1" s="1"/>
  <c r="V81" i="1"/>
  <c r="AC90" i="1" s="1"/>
  <c r="AC93" i="1" s="1"/>
  <c r="L30" i="2"/>
  <c r="V38" i="2"/>
  <c r="V39" i="2" s="1"/>
  <c r="V40" i="2" s="1"/>
  <c r="V41" i="2" s="1"/>
  <c r="V42" i="2" s="1"/>
  <c r="V43" i="2" s="1"/>
  <c r="W38" i="2"/>
  <c r="W39" i="2" s="1"/>
  <c r="W40" i="2" s="1"/>
  <c r="W41" i="2" s="1"/>
  <c r="W42" i="2" s="1"/>
  <c r="W43" i="2" s="1"/>
  <c r="W44" i="2" s="1"/>
  <c r="W45" i="2" s="1"/>
  <c r="W46" i="2" s="1"/>
  <c r="AC73" i="1" l="1"/>
  <c r="AC77" i="1" s="1"/>
  <c r="L30" i="8"/>
  <c r="AB73" i="9" s="1"/>
  <c r="AB76" i="9" s="1"/>
  <c r="F22" i="2"/>
  <c r="AC11" i="1" s="1"/>
  <c r="AC15" i="1" s="1"/>
  <c r="AC92" i="1"/>
  <c r="AC13" i="1" l="1"/>
  <c r="AC75" i="1"/>
  <c r="AB75" i="9"/>
  <c r="F24" i="2"/>
  <c r="O11" i="2"/>
  <c r="AC23" i="1" s="1"/>
  <c r="AC51" i="1"/>
  <c r="AC26" i="1" l="1"/>
  <c r="AC25" i="1" l="1"/>
  <c r="N50" i="5"/>
  <c r="AC40" i="1"/>
  <c r="Q17" i="2" l="1"/>
  <c r="Q18" i="2" l="1"/>
  <c r="V62" i="1" s="1"/>
  <c r="AC65" i="1" s="1"/>
  <c r="L27" i="5"/>
  <c r="L47" i="5" l="1"/>
  <c r="M47" i="5" s="1"/>
  <c r="N47" i="5" s="1"/>
  <c r="M21" i="2" l="1"/>
  <c r="Q15" i="8"/>
  <c r="M21" i="8" s="1"/>
  <c r="L20" i="2"/>
  <c r="V67" i="1" s="1"/>
  <c r="AC69" i="1" l="1"/>
  <c r="AB67" i="9"/>
  <c r="AC112" i="1" l="1"/>
  <c r="AC113" i="1" s="1"/>
  <c r="AC114" i="1" s="1"/>
  <c r="AC118" i="1" s="1"/>
  <c r="AC120" i="1" s="1"/>
  <c r="AC67" i="1"/>
  <c r="AB69" i="9"/>
  <c r="AB111" i="9"/>
  <c r="AB112" i="9" s="1"/>
  <c r="AB113" i="9" s="1"/>
  <c r="AB117" i="9" s="1"/>
  <c r="AB1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Légaré</author>
  </authors>
  <commentList>
    <comment ref="L6" authorId="0" shapeId="0" xr:uid="{00000000-0006-0000-0200-000001000000}">
      <text>
        <r>
          <rPr>
            <b/>
            <sz val="9"/>
            <color indexed="81"/>
            <rFont val="Tahoma"/>
            <family val="2"/>
          </rPr>
          <t>Daniel Légaré:
La prime est de 3,52 $ à laquelle on applique un congé de prime de 50 %.
Le taux par mile : Prime/25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tc={B028F132-4C2E-4520-B3E4-8206E88E59B2}</author>
  </authors>
  <commentList>
    <comment ref="L11" authorId="0" shapeId="0" xr:uid="{B028F132-4C2E-4520-B3E4-8206E88E59B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retrouver la formule prendre la version 2021 du calculatueur</t>
      </text>
    </comment>
  </commentList>
</comments>
</file>

<file path=xl/sharedStrings.xml><?xml version="1.0" encoding="utf-8"?>
<sst xmlns="http://schemas.openxmlformats.org/spreadsheetml/2006/main" count="930" uniqueCount="377">
  <si>
    <t>Assurance maladie</t>
  </si>
  <si>
    <t>Assurance invalidité de courte durée</t>
  </si>
  <si>
    <t>Assurance invalidité de longue durée</t>
  </si>
  <si>
    <t>Assurance dentaire</t>
  </si>
  <si>
    <t>Assurance vie de base</t>
  </si>
  <si>
    <t>Module A</t>
  </si>
  <si>
    <t>Module B</t>
  </si>
  <si>
    <t>Module C</t>
  </si>
  <si>
    <t>Je suis couvert par l'assurance de mon conjoint</t>
  </si>
  <si>
    <t>Choix en assurance maladie</t>
  </si>
  <si>
    <t>Réponse choisie</t>
  </si>
  <si>
    <t>Couple</t>
  </si>
  <si>
    <t>Ind</t>
  </si>
  <si>
    <t>Mono</t>
  </si>
  <si>
    <t>Fam</t>
  </si>
  <si>
    <t>Si  65 ans ou plus inscrit à la RAMQ</t>
  </si>
  <si>
    <t>Si  65 ans ou plus qui n'est pas inscrit à la RAMQ</t>
  </si>
  <si>
    <t>Âge et RAMQ</t>
  </si>
  <si>
    <t>Adhérent de moins de 65 ans</t>
  </si>
  <si>
    <t>Adhérent de 65 ans ou + inscrit à la RAMQ</t>
  </si>
  <si>
    <t>Adhérent de 65 ans ou + non inscrit à la RAMQ</t>
  </si>
  <si>
    <t>Si adhérent de moins de 65 ans</t>
  </si>
  <si>
    <t>Assurance vie additionnelle</t>
  </si>
  <si>
    <t>N.B. Cette assurance est offerte seulement dans certains syndicats des regroupements privé et université</t>
  </si>
  <si>
    <t>Syndicat choisi</t>
  </si>
  <si>
    <t>Taux par 1000$</t>
  </si>
  <si>
    <t>Choix en assurance dentaire</t>
  </si>
  <si>
    <t>Option 1</t>
  </si>
  <si>
    <t>Option 2</t>
  </si>
  <si>
    <t>Aucune option</t>
  </si>
  <si>
    <t>Test sur la réponse</t>
  </si>
  <si>
    <t>Aucun de ceux-ci</t>
  </si>
  <si>
    <t>Souscrit à l'assurance?</t>
  </si>
  <si>
    <t>Oui</t>
  </si>
  <si>
    <t>Non</t>
  </si>
  <si>
    <t>Taux par paie</t>
  </si>
  <si>
    <t>Choix en assurance vie de base</t>
  </si>
  <si>
    <t>Catégorie d'âge</t>
  </si>
  <si>
    <t>Autres informations</t>
  </si>
  <si>
    <t>Choix en assurance vie additionnelle</t>
  </si>
  <si>
    <t>Sexe</t>
  </si>
  <si>
    <t>Homme</t>
  </si>
  <si>
    <t>Femme</t>
  </si>
  <si>
    <t>Fumeur/Non fumeur</t>
  </si>
  <si>
    <t>Non fumeur</t>
  </si>
  <si>
    <t>Fumeur</t>
  </si>
  <si>
    <t>Tableau des taux</t>
  </si>
  <si>
    <t>âge</t>
  </si>
  <si>
    <t>Non fumeuse</t>
  </si>
  <si>
    <t>Fumeuse</t>
  </si>
  <si>
    <t>Moins de 25 ans</t>
  </si>
  <si>
    <t>25 à 29 ans</t>
  </si>
  <si>
    <t>30 à 34 ans</t>
  </si>
  <si>
    <t>35 à 39 ans</t>
  </si>
  <si>
    <t>40 à 44 ans</t>
  </si>
  <si>
    <t>45 à 49 ans</t>
  </si>
  <si>
    <t>50 à 54 ans</t>
  </si>
  <si>
    <t>55 à 59 ans</t>
  </si>
  <si>
    <t>60 à 64 ans</t>
  </si>
  <si>
    <t>65 à 69 ans</t>
  </si>
  <si>
    <t xml:space="preserve">Tranches additionnelles </t>
  </si>
  <si>
    <t>Assurance vie des personnes à charge</t>
  </si>
  <si>
    <t>Choix en assurance vie des personnes à charge</t>
  </si>
  <si>
    <t>A - Pour la personne adhérente</t>
  </si>
  <si>
    <t>B - Pour la personne conjointe</t>
  </si>
  <si>
    <t>Adhérent</t>
  </si>
  <si>
    <t>Conjoint</t>
  </si>
  <si>
    <t>Choix adhérent</t>
  </si>
  <si>
    <t>Choix conjoint</t>
  </si>
  <si>
    <t>Couverture choisie</t>
  </si>
  <si>
    <t>Montant assuré:</t>
  </si>
  <si>
    <t>Couverture</t>
  </si>
  <si>
    <t>Âge adhérent</t>
  </si>
  <si>
    <t>Àge conjoint</t>
  </si>
  <si>
    <t>Taux par période de paie adhérent</t>
  </si>
  <si>
    <t>Taux par période de paie conjoint</t>
  </si>
  <si>
    <t>Plan de protection</t>
  </si>
  <si>
    <t>Protection de base (module A)</t>
  </si>
  <si>
    <t>Protection régulière (module B)</t>
  </si>
  <si>
    <t>Protection enrichie (module C)</t>
  </si>
  <si>
    <t>Individuel</t>
  </si>
  <si>
    <t>Monoparental</t>
  </si>
  <si>
    <t>Familial</t>
  </si>
  <si>
    <t>Taux possibles</t>
  </si>
  <si>
    <t>LaSalle</t>
  </si>
  <si>
    <t>Les autres</t>
  </si>
  <si>
    <t>Taux possible</t>
  </si>
  <si>
    <t>Plan de protection (identique à l'assurance maladie)</t>
  </si>
  <si>
    <t>(arrondi au plus près 500$)</t>
  </si>
  <si>
    <t>Choix de protection</t>
  </si>
  <si>
    <t>Protection de base (Option 1)</t>
  </si>
  <si>
    <t>Protection enrichie (Option 2)</t>
  </si>
  <si>
    <t>Je souscris l'assurance vie de base</t>
  </si>
  <si>
    <t>Je souscris l'assurance vie des personnes à charge</t>
  </si>
  <si>
    <t>Je souscris l'assurance invalidité de longue durée</t>
  </si>
  <si>
    <t>Moins de 65 ans</t>
  </si>
  <si>
    <t>Entre 65 ans et 70 ans</t>
  </si>
  <si>
    <t>70 ans ou plus</t>
  </si>
  <si>
    <t>Vie de base</t>
  </si>
  <si>
    <t>Maladies graves</t>
  </si>
  <si>
    <t>Montant payé</t>
  </si>
  <si>
    <t xml:space="preserve"> </t>
  </si>
  <si>
    <t>Pour souscrire une assurance vie additionnelle vous devez avoir une protection en assurance vie de base correspondant à une fois votre salaire annuel.</t>
  </si>
  <si>
    <t>Pour souscrire une assurance vie additionnelle vous devez avoir une protection en assurance vie de base correspondant à deux fois votre salaire annuel.</t>
  </si>
  <si>
    <t xml:space="preserve">          </t>
  </si>
  <si>
    <t xml:space="preserve">Catégorie d'âge   </t>
  </si>
  <si>
    <t>Pour souscrire une assurance vie additionnelle pour la personne conjointe, vous devez avoir une protection pour les personnes à charge.</t>
  </si>
  <si>
    <t>Pour souscrire une assurance vie additionnelle pour la personne conjointe, vous devez avoir une protection en assurance vie de base .</t>
  </si>
  <si>
    <t>Cette assurance est fortement recommandée aux non permanents des cégeps et est obligatoire pour presque tous les autres membres des syndicats qui y participent.</t>
  </si>
  <si>
    <t>Concordia</t>
  </si>
  <si>
    <t xml:space="preserve">Je souscris l'assurance vie additionnelle </t>
  </si>
  <si>
    <t xml:space="preserve">Couverture choisie: </t>
  </si>
  <si>
    <t>Contactez votre syndicat pour de plus amples informations.</t>
  </si>
  <si>
    <t xml:space="preserve">Couverture additionnelle totale: </t>
  </si>
  <si>
    <t xml:space="preserve">Contribution de votre employeur par période de paie : </t>
  </si>
  <si>
    <t>Choix de protection (Inscrivez un "X" dans la case de votre choix et effacez le "X" des autres cases)</t>
  </si>
  <si>
    <t>Choix du syndicat</t>
  </si>
  <si>
    <t xml:space="preserve">Montant assuré : </t>
  </si>
  <si>
    <t xml:space="preserve"> ans</t>
  </si>
  <si>
    <t>Indiquez l'âge de votre conjoint :</t>
  </si>
  <si>
    <t>Une fois le salaire annuel</t>
  </si>
  <si>
    <t>Deux fois le salaire annuel</t>
  </si>
  <si>
    <t>10 000$</t>
  </si>
  <si>
    <t>La moitié du salaire annuel</t>
  </si>
  <si>
    <t>Maladie</t>
  </si>
  <si>
    <t>Dentaire</t>
  </si>
  <si>
    <t>Vie</t>
  </si>
  <si>
    <t>personnes à charge</t>
  </si>
  <si>
    <t>vie additionnelle</t>
  </si>
  <si>
    <t>Invalidité de courte durée</t>
  </si>
  <si>
    <t>Invalidité de longue durée</t>
  </si>
  <si>
    <t>augmentation</t>
  </si>
  <si>
    <t>Écarts Maladie (2014-2013)</t>
  </si>
  <si>
    <t>Écarts Dentaire</t>
  </si>
  <si>
    <t>Copier les valeurs de l'année précdente, puis ajuster les pourcentage d'augmentation</t>
  </si>
  <si>
    <t>Laval</t>
  </si>
  <si>
    <t>De l'Université Laval</t>
  </si>
  <si>
    <t>Si vous ne l'avez pas déjà fait, inscrivez votre salaire annuel:</t>
  </si>
  <si>
    <t xml:space="preserve">Taxe de 9% : </t>
  </si>
  <si>
    <t xml:space="preserve">Si vous ne l'avez pas déjà fait, inscrivez votre salaire annuel : </t>
  </si>
  <si>
    <t>N.B. Dans les cégeps, la contribution de l'employeur est nulle mais il assume entièrement l'assurance invalidité de courte durée</t>
  </si>
  <si>
    <t>Health Insurance</t>
  </si>
  <si>
    <t>Coverage status</t>
  </si>
  <si>
    <t>Basic Coverage (Module A)</t>
  </si>
  <si>
    <t>Individual</t>
  </si>
  <si>
    <t>Regular Coverage (Module B)</t>
  </si>
  <si>
    <t>Single-Parent</t>
  </si>
  <si>
    <t>Enhanced Coverage (Module C)</t>
  </si>
  <si>
    <t>Family</t>
  </si>
  <si>
    <t>I am covered under my spouse’s insurance</t>
  </si>
  <si>
    <t>Dental Care Insurance</t>
  </si>
  <si>
    <t>Choice of coverage</t>
  </si>
  <si>
    <t>Coverage status (same as Health Insurance)</t>
  </si>
  <si>
    <t>No option</t>
  </si>
  <si>
    <t>Basic Coverage (Option 1)</t>
  </si>
  <si>
    <t>Enhanced Coverage (Option 2)</t>
  </si>
  <si>
    <t>Short Term Disability Insurance</t>
  </si>
  <si>
    <t>Note: This insurance is only available for certain unions of private and university groups</t>
  </si>
  <si>
    <t>Choice of union</t>
  </si>
  <si>
    <t>From LaSalle College union</t>
  </si>
  <si>
    <t>None of these</t>
  </si>
  <si>
    <t>Long Term Disability Insurance</t>
  </si>
  <si>
    <t>Yes</t>
  </si>
  <si>
    <t>No</t>
  </si>
  <si>
    <t>This insurance is strongly recommended for non-permanent CEGEP employees and is mandatory for almost all other participating union members.</t>
  </si>
  <si>
    <t>Contact your union for more information.</t>
  </si>
  <si>
    <t>Basic Life Insurance</t>
  </si>
  <si>
    <t xml:space="preserve">Coverage selected: </t>
  </si>
  <si>
    <t>(this coverage includes critical illness insurance)</t>
  </si>
  <si>
    <t>One time the annual salary</t>
  </si>
  <si>
    <t>Two times the annual salary</t>
  </si>
  <si>
    <t>Age group</t>
  </si>
  <si>
    <t>Dependents’ Life Insurance</t>
  </si>
  <si>
    <t>Optional Life Insurance</t>
  </si>
  <si>
    <t>A - For the participant</t>
  </si>
  <si>
    <t xml:space="preserve">Rate per 14-day period per $1000 of insurance: </t>
  </si>
  <si>
    <t xml:space="preserve">Total additional coverage: </t>
  </si>
  <si>
    <t>Other informations</t>
  </si>
  <si>
    <t>Male</t>
  </si>
  <si>
    <t>Female</t>
  </si>
  <si>
    <t>Non-smoker</t>
  </si>
  <si>
    <t>years old</t>
  </si>
  <si>
    <t>Smoker</t>
  </si>
  <si>
    <t>B - For the spouse</t>
  </si>
  <si>
    <t>Write your spouse's age:</t>
  </si>
  <si>
    <t>Total cost</t>
  </si>
  <si>
    <t>Note: in CEGEPS, the employer's contribution is null but he assumes entirely Short Term Disability Insurance</t>
  </si>
  <si>
    <t/>
  </si>
  <si>
    <t>Du collège LaSalle</t>
  </si>
  <si>
    <t>N.B. L'assurance maladies graves est incluse avec l'assurance vie de base</t>
  </si>
  <si>
    <r>
      <rPr>
        <b/>
        <sz val="11"/>
        <color indexed="8"/>
        <rFont val="Calibri"/>
        <family val="2"/>
      </rPr>
      <t>Health Insurance coverage chosen</t>
    </r>
  </si>
  <si>
    <r>
      <rPr>
        <b/>
        <sz val="11"/>
        <color indexed="8"/>
        <rFont val="Calibri"/>
        <family val="2"/>
      </rPr>
      <t>Coverage status</t>
    </r>
  </si>
  <si>
    <r>
      <rPr>
        <b/>
        <sz val="11"/>
        <color indexed="8"/>
        <rFont val="Calibri"/>
        <family val="2"/>
      </rPr>
      <t>Age and RAMQ</t>
    </r>
  </si>
  <si>
    <r>
      <rPr>
        <b/>
        <sz val="11"/>
        <color indexed="8"/>
        <rFont val="Calibri"/>
        <family val="2"/>
      </rPr>
      <t>Cost per 14 days</t>
    </r>
  </si>
  <si>
    <r>
      <rPr>
        <sz val="11"/>
        <color indexed="8"/>
        <rFont val="Calibri"/>
        <family val="2"/>
      </rPr>
      <t>If participant is under age 65</t>
    </r>
  </si>
  <si>
    <r>
      <rPr>
        <b/>
        <sz val="11"/>
        <color indexed="8"/>
        <rFont val="Calibri"/>
        <family val="2"/>
      </rPr>
      <t>Dental Care Insurance coverage chosen</t>
    </r>
  </si>
  <si>
    <r>
      <rPr>
        <sz val="11"/>
        <color indexed="8"/>
        <rFont val="Calibri"/>
        <family val="2"/>
      </rPr>
      <t>Cost per 14 days</t>
    </r>
  </si>
  <si>
    <r>
      <rPr>
        <sz val="11"/>
        <color indexed="8"/>
        <rFont val="Calibri"/>
        <family val="2"/>
      </rPr>
      <t>Basic Coverage (Module A)</t>
    </r>
  </si>
  <si>
    <r>
      <rPr>
        <sz val="11"/>
        <color indexed="8"/>
        <rFont val="Calibri"/>
        <family val="2"/>
      </rPr>
      <t>Individual</t>
    </r>
  </si>
  <si>
    <r>
      <rPr>
        <sz val="11"/>
        <color indexed="8"/>
        <rFont val="Calibri"/>
        <family val="2"/>
      </rPr>
      <t>Participant under age 65</t>
    </r>
  </si>
  <si>
    <r>
      <rPr>
        <sz val="11"/>
        <color indexed="8"/>
        <rFont val="Calibri"/>
        <family val="2"/>
      </rPr>
      <t>Regular Coverage (Module B)</t>
    </r>
  </si>
  <si>
    <r>
      <rPr>
        <sz val="11"/>
        <color indexed="8"/>
        <rFont val="Calibri"/>
        <family val="2"/>
      </rPr>
      <t>Single-Parent</t>
    </r>
  </si>
  <si>
    <r>
      <rPr>
        <sz val="11"/>
        <color indexed="8"/>
        <rFont val="Calibri"/>
        <family val="2"/>
      </rPr>
      <t>Participant age 65 or + registered with the RAMQ</t>
    </r>
  </si>
  <si>
    <r>
      <rPr>
        <sz val="11"/>
        <color indexed="8"/>
        <rFont val="Calibri"/>
        <family val="2"/>
      </rPr>
      <t>Basic Coverage (Option 1)</t>
    </r>
  </si>
  <si>
    <r>
      <rPr>
        <sz val="11"/>
        <color indexed="8"/>
        <rFont val="Calibri"/>
        <family val="2"/>
      </rPr>
      <t>Ind</t>
    </r>
  </si>
  <si>
    <r>
      <rPr>
        <sz val="11"/>
        <color indexed="8"/>
        <rFont val="Calibri"/>
        <family val="2"/>
      </rPr>
      <t>Enhanced Coverage (Module C)</t>
    </r>
  </si>
  <si>
    <r>
      <rPr>
        <sz val="11"/>
        <color indexed="8"/>
        <rFont val="Calibri"/>
        <family val="2"/>
      </rPr>
      <t>Family</t>
    </r>
  </si>
  <si>
    <r>
      <rPr>
        <sz val="11"/>
        <color indexed="8"/>
        <rFont val="Calibri"/>
        <family val="2"/>
      </rPr>
      <t>Participant age 65 or + not registered with the RAMQ</t>
    </r>
  </si>
  <si>
    <r>
      <rPr>
        <sz val="11"/>
        <color indexed="8"/>
        <rFont val="Calibri"/>
        <family val="2"/>
      </rPr>
      <t>Enhanced Coverage (Option 2)</t>
    </r>
  </si>
  <si>
    <r>
      <rPr>
        <sz val="11"/>
        <color indexed="8"/>
        <rFont val="Calibri"/>
        <family val="2"/>
      </rPr>
      <t>SP</t>
    </r>
  </si>
  <si>
    <r>
      <rPr>
        <sz val="11"/>
        <color indexed="8"/>
        <rFont val="Calibri"/>
        <family val="2"/>
      </rPr>
      <t>I am covered under my spouse’s insurance</t>
    </r>
  </si>
  <si>
    <r>
      <rPr>
        <sz val="11"/>
        <color indexed="8"/>
        <rFont val="Calibri"/>
        <family val="2"/>
      </rPr>
      <t>Couple</t>
    </r>
  </si>
  <si>
    <r>
      <rPr>
        <sz val="11"/>
        <color indexed="8"/>
        <rFont val="Calibri"/>
        <family val="2"/>
      </rPr>
      <t>Fam</t>
    </r>
  </si>
  <si>
    <r>
      <rPr>
        <sz val="11"/>
        <color indexed="8"/>
        <rFont val="Calibri"/>
        <family val="2"/>
      </rPr>
      <t>Answer chosen</t>
    </r>
  </si>
  <si>
    <r>
      <rPr>
        <sz val="11"/>
        <color indexed="8"/>
        <rFont val="Calibri"/>
        <family val="2"/>
      </rPr>
      <t>If age 65 or over and registered with the RAMQ</t>
    </r>
  </si>
  <si>
    <r>
      <rPr>
        <sz val="11"/>
        <color indexed="8"/>
        <rFont val="Calibri"/>
        <family val="2"/>
      </rPr>
      <t>Test on answer</t>
    </r>
  </si>
  <si>
    <r>
      <rPr>
        <sz val="11"/>
        <color indexed="8"/>
        <rFont val="Calibri"/>
        <family val="2"/>
      </rPr>
      <t>Cost per pay</t>
    </r>
  </si>
  <si>
    <r>
      <rPr>
        <sz val="11"/>
        <color indexed="8"/>
        <rFont val="Calibri"/>
        <family val="2"/>
      </rPr>
      <t>If age 65 or over and not registered with the RAMQ</t>
    </r>
  </si>
  <si>
    <r>
      <rPr>
        <b/>
        <sz val="11"/>
        <color indexed="8"/>
        <rFont val="Calibri"/>
        <family val="2"/>
      </rPr>
      <t>Coverage selected for Basic Life Insurance</t>
    </r>
  </si>
  <si>
    <r>
      <rPr>
        <sz val="11"/>
        <color indexed="8"/>
        <rFont val="Calibri"/>
        <family val="2"/>
      </rPr>
      <t>Possible rate</t>
    </r>
  </si>
  <si>
    <r>
      <rPr>
        <sz val="11"/>
        <color indexed="8"/>
        <rFont val="Calibri"/>
        <family val="2"/>
      </rPr>
      <t>Age group</t>
    </r>
  </si>
  <si>
    <r>
      <rPr>
        <sz val="11"/>
        <color indexed="8"/>
        <rFont val="Calibri"/>
        <family val="2"/>
      </rPr>
      <t>Yes</t>
    </r>
  </si>
  <si>
    <r>
      <rPr>
        <sz val="11"/>
        <color indexed="8"/>
        <rFont val="Calibri"/>
        <family val="2"/>
      </rPr>
      <t>Basic Life</t>
    </r>
  </si>
  <si>
    <r>
      <rPr>
        <sz val="11"/>
        <color indexed="8"/>
        <rFont val="Calibri"/>
        <family val="2"/>
      </rPr>
      <t>Under age 65</t>
    </r>
  </si>
  <si>
    <r>
      <rPr>
        <sz val="11"/>
        <color indexed="8"/>
        <rFont val="Calibri"/>
        <family val="2"/>
      </rPr>
      <t>No</t>
    </r>
  </si>
  <si>
    <r>
      <rPr>
        <sz val="11"/>
        <color indexed="8"/>
        <rFont val="Calibri"/>
        <family val="2"/>
      </rPr>
      <t>Critical Illness</t>
    </r>
  </si>
  <si>
    <r>
      <rPr>
        <sz val="11"/>
        <color indexed="8"/>
        <rFont val="Calibri"/>
        <family val="2"/>
      </rPr>
      <t>Between age 65 and 70</t>
    </r>
  </si>
  <si>
    <t>Half of the annual salary</t>
  </si>
  <si>
    <t>Salary rounded at 500$</t>
  </si>
  <si>
    <r>
      <rPr>
        <sz val="11"/>
        <color indexed="8"/>
        <rFont val="Calibri"/>
        <family val="2"/>
      </rPr>
      <t>Age 70 or over</t>
    </r>
  </si>
  <si>
    <r>
      <rPr>
        <sz val="11"/>
        <color indexed="8"/>
        <rFont val="Calibri"/>
        <family val="2"/>
      </rPr>
      <t>Insured amount:</t>
    </r>
  </si>
  <si>
    <t>Rate per pay</t>
  </si>
  <si>
    <r>
      <rPr>
        <sz val="11"/>
        <color indexed="8"/>
        <rFont val="Calibri"/>
        <family val="2"/>
      </rPr>
      <t>(rounded to the nearest $500)</t>
    </r>
  </si>
  <si>
    <r>
      <rPr>
        <sz val="11"/>
        <color indexed="8"/>
        <rFont val="Calibri"/>
        <family val="2"/>
      </rPr>
      <t>Coverage selected</t>
    </r>
  </si>
  <si>
    <t>Cost per pay</t>
  </si>
  <si>
    <t>Amount paid:</t>
  </si>
  <si>
    <t>Annual cost</t>
  </si>
  <si>
    <r>
      <rPr>
        <b/>
        <sz val="11"/>
        <color indexed="8"/>
        <rFont val="Calibri"/>
        <family val="2"/>
      </rPr>
      <t>Coverage selected for Dependents’ Life Insurance</t>
    </r>
  </si>
  <si>
    <r>
      <rPr>
        <b/>
        <sz val="11"/>
        <color indexed="8"/>
        <rFont val="Calibri"/>
        <family val="2"/>
      </rPr>
      <t>Short Term Disability Insurance</t>
    </r>
  </si>
  <si>
    <t>Chosen union</t>
  </si>
  <si>
    <t>Rate per 1000$</t>
  </si>
  <si>
    <r>
      <rPr>
        <b/>
        <sz val="11"/>
        <color indexed="8"/>
        <rFont val="Calibri"/>
        <family val="2"/>
      </rPr>
      <t>Long Term Disability Insurance</t>
    </r>
  </si>
  <si>
    <r>
      <rPr>
        <sz val="11"/>
        <color indexed="8"/>
        <rFont val="Calibri"/>
        <family val="2"/>
      </rPr>
      <t>Registered for insurance?</t>
    </r>
  </si>
  <si>
    <t>Possible rate</t>
  </si>
  <si>
    <t>Possible rates</t>
  </si>
  <si>
    <r>
      <rPr>
        <sz val="11"/>
        <color indexed="8"/>
        <rFont val="Calibri"/>
        <family val="2"/>
      </rPr>
      <t>To take out Optional Life Insurance you must have Basic Life Insurance coverage corresponding to two times your annual salary.</t>
    </r>
  </si>
  <si>
    <t>To take out Optional Life Insurance you must have Basic Life Insurance coverage corresponding to one time your annual salary.</t>
  </si>
  <si>
    <r>
      <rPr>
        <b/>
        <sz val="11"/>
        <color indexed="8"/>
        <rFont val="Calibri"/>
        <family val="2"/>
      </rPr>
      <t>Coverage selected for Optional Life Insurance</t>
    </r>
  </si>
  <si>
    <r>
      <rPr>
        <sz val="11"/>
        <color indexed="8"/>
        <rFont val="Calibri"/>
        <family val="2"/>
      </rPr>
      <t>Rate table</t>
    </r>
  </si>
  <si>
    <r>
      <rPr>
        <sz val="11"/>
        <color indexed="8"/>
        <rFont val="Calibri"/>
        <family val="2"/>
      </rPr>
      <t xml:space="preserve">Additional units </t>
    </r>
  </si>
  <si>
    <r>
      <rPr>
        <b/>
        <sz val="11"/>
        <color indexed="8"/>
        <rFont val="Calibri"/>
        <family val="2"/>
      </rPr>
      <t>Participant</t>
    </r>
  </si>
  <si>
    <t>Spouse</t>
  </si>
  <si>
    <r>
      <rPr>
        <sz val="11"/>
        <color indexed="8"/>
        <rFont val="Calibri"/>
        <family val="2"/>
      </rPr>
      <t>Male</t>
    </r>
  </si>
  <si>
    <r>
      <rPr>
        <sz val="11"/>
        <color indexed="8"/>
        <rFont val="Calibri"/>
        <family val="2"/>
      </rPr>
      <t>Female</t>
    </r>
  </si>
  <si>
    <r>
      <rPr>
        <sz val="11"/>
        <color indexed="8"/>
        <rFont val="Calibri"/>
        <family val="2"/>
      </rPr>
      <t>Age</t>
    </r>
  </si>
  <si>
    <r>
      <rPr>
        <sz val="11"/>
        <color indexed="8"/>
        <rFont val="Calibri"/>
        <family val="2"/>
      </rPr>
      <t>Non-smoker</t>
    </r>
  </si>
  <si>
    <r>
      <rPr>
        <sz val="11"/>
        <color indexed="8"/>
        <rFont val="Calibri"/>
        <family val="2"/>
      </rPr>
      <t>Smoker</t>
    </r>
  </si>
  <si>
    <r>
      <rPr>
        <sz val="11"/>
        <color indexed="8"/>
        <rFont val="Calibri"/>
        <family val="2"/>
      </rPr>
      <t>Under age 25</t>
    </r>
  </si>
  <si>
    <r>
      <rPr>
        <sz val="11"/>
        <color indexed="8"/>
        <rFont val="Calibri"/>
        <family val="2"/>
      </rPr>
      <t>25 to 29</t>
    </r>
  </si>
  <si>
    <r>
      <rPr>
        <sz val="11"/>
        <color indexed="8"/>
        <rFont val="Calibri"/>
        <family val="2"/>
      </rPr>
      <t>30 to 34</t>
    </r>
  </si>
  <si>
    <r>
      <rPr>
        <sz val="11"/>
        <color indexed="8"/>
        <rFont val="Calibri"/>
        <family val="2"/>
      </rPr>
      <t>35 to 39</t>
    </r>
  </si>
  <si>
    <r>
      <rPr>
        <sz val="11"/>
        <color indexed="8"/>
        <rFont val="Calibri"/>
        <family val="2"/>
      </rPr>
      <t>Gender</t>
    </r>
  </si>
  <si>
    <r>
      <rPr>
        <sz val="11"/>
        <color indexed="8"/>
        <rFont val="Calibri"/>
        <family val="2"/>
      </rPr>
      <t>40 to 44</t>
    </r>
  </si>
  <si>
    <r>
      <rPr>
        <sz val="11"/>
        <color indexed="8"/>
        <rFont val="Calibri"/>
        <family val="2"/>
      </rPr>
      <t>45 to 49</t>
    </r>
  </si>
  <si>
    <r>
      <rPr>
        <sz val="11"/>
        <color indexed="8"/>
        <rFont val="Calibri"/>
        <family val="2"/>
      </rPr>
      <t>50 to 54</t>
    </r>
  </si>
  <si>
    <r>
      <rPr>
        <sz val="11"/>
        <color indexed="8"/>
        <rFont val="Calibri"/>
        <family val="2"/>
      </rPr>
      <t>Participant’s choice</t>
    </r>
  </si>
  <si>
    <r>
      <rPr>
        <sz val="11"/>
        <color indexed="8"/>
        <rFont val="Calibri"/>
        <family val="2"/>
      </rPr>
      <t>55 to 59</t>
    </r>
  </si>
  <si>
    <r>
      <rPr>
        <sz val="11"/>
        <color indexed="8"/>
        <rFont val="Calibri"/>
        <family val="2"/>
      </rPr>
      <t>60 to 64</t>
    </r>
  </si>
  <si>
    <r>
      <rPr>
        <sz val="11"/>
        <color indexed="8"/>
        <rFont val="Calibri"/>
        <family val="2"/>
      </rPr>
      <t>Spouse’s choice</t>
    </r>
  </si>
  <si>
    <r>
      <rPr>
        <sz val="11"/>
        <color indexed="8"/>
        <rFont val="Calibri"/>
        <family val="2"/>
      </rPr>
      <t>65 to 69</t>
    </r>
  </si>
  <si>
    <r>
      <rPr>
        <sz val="11"/>
        <color indexed="8"/>
        <rFont val="Calibri"/>
        <family val="2"/>
      </rPr>
      <t>Smoker/Non-smoker</t>
    </r>
  </si>
  <si>
    <r>
      <rPr>
        <sz val="11"/>
        <color indexed="8"/>
        <rFont val="Calibri"/>
        <family val="2"/>
      </rPr>
      <t>Participant’s age</t>
    </r>
  </si>
  <si>
    <t>45 to 49</t>
  </si>
  <si>
    <r>
      <rPr>
        <sz val="11"/>
        <color indexed="8"/>
        <rFont val="Calibri"/>
        <family val="2"/>
      </rPr>
      <t>Rate per pay period for participant</t>
    </r>
  </si>
  <si>
    <r>
      <rPr>
        <sz val="11"/>
        <color indexed="8"/>
        <rFont val="Calibri"/>
        <family val="2"/>
      </rPr>
      <t>Spouse’s age</t>
    </r>
  </si>
  <si>
    <r>
      <rPr>
        <sz val="11"/>
        <color indexed="8"/>
        <rFont val="Calibri"/>
        <family val="2"/>
      </rPr>
      <t>Rate per pay period for spouse</t>
    </r>
  </si>
  <si>
    <r>
      <rPr>
        <sz val="11"/>
        <color indexed="8"/>
        <rFont val="Calibri"/>
        <family val="2"/>
      </rPr>
      <t>To take out Optional Life Insurance for the spouse, you must have coverage for dependents.</t>
    </r>
  </si>
  <si>
    <r>
      <rPr>
        <sz val="11"/>
        <color indexed="8"/>
        <rFont val="Calibri"/>
        <family val="2"/>
      </rPr>
      <t>To take out Optional Life Insurance for the spouse, you must have Basic Life Insurance coverage.</t>
    </r>
  </si>
  <si>
    <t>Under age 25</t>
  </si>
  <si>
    <t>25 to 29</t>
  </si>
  <si>
    <t>30 to 34</t>
  </si>
  <si>
    <t>35 to 39</t>
  </si>
  <si>
    <t>40 to 44</t>
  </si>
  <si>
    <t>50 to 54</t>
  </si>
  <si>
    <t>55 to 59</t>
  </si>
  <si>
    <t>60 to 64</t>
  </si>
  <si>
    <t>65 to 69</t>
  </si>
  <si>
    <t xml:space="preserve">Write your annual salary : </t>
  </si>
  <si>
    <t>Answer chosen</t>
  </si>
  <si>
    <t>From Laval University union</t>
  </si>
  <si>
    <t xml:space="preserve">Cout annuel (26 paies) : </t>
  </si>
  <si>
    <t>Cout par 14 jours</t>
  </si>
  <si>
    <t xml:space="preserve">Cout par période de paie (14 jours) : </t>
  </si>
  <si>
    <t>Cout total</t>
  </si>
  <si>
    <t xml:space="preserve">Cout total par période de paie avant la contribution de l'employeur :  </t>
  </si>
  <si>
    <t xml:space="preserve">Cout total par période de paie (14 jours) incluant la taxe : </t>
  </si>
  <si>
    <t xml:space="preserve">Cout annuel (26 paies) incluant la taxe : </t>
  </si>
  <si>
    <t>Cout par paie</t>
  </si>
  <si>
    <t>Cout annuel</t>
  </si>
  <si>
    <t>Ou copier les valeurs pour l'année en cours et ajuster les pourcentage à 0%</t>
  </si>
  <si>
    <t>Formule</t>
  </si>
  <si>
    <t>Valeur à saisir</t>
  </si>
  <si>
    <t>Texte</t>
  </si>
  <si>
    <t>Couleurs</t>
  </si>
  <si>
    <t>Concordia n'est plus couvert par la Police</t>
  </si>
  <si>
    <t>Aucun</t>
  </si>
  <si>
    <t>Inscrivez votre salaire annuel :</t>
  </si>
  <si>
    <t>Vie additionnelle</t>
  </si>
  <si>
    <t>Additional life insurance</t>
  </si>
  <si>
    <t>Quel est votre âge :</t>
  </si>
  <si>
    <t>ans</t>
  </si>
  <si>
    <t>Âge de l'adhérant</t>
  </si>
  <si>
    <t>À compter de 70 ans, l'assurance vie additionnelle n'est plus disponible.</t>
  </si>
  <si>
    <t>Participant age :</t>
  </si>
  <si>
    <t>years</t>
  </si>
  <si>
    <t>Âge</t>
  </si>
  <si>
    <t>Age</t>
  </si>
  <si>
    <t>Age of participant</t>
  </si>
  <si>
    <t>Optional Life Insurance is no longer available after age 70.</t>
  </si>
  <si>
    <t>Du collège Trinité</t>
  </si>
  <si>
    <t>From Trinité College union</t>
  </si>
  <si>
    <t>Mot de passe: FNEEQDL</t>
  </si>
  <si>
    <t>Taux_courte</t>
  </si>
  <si>
    <t>Taux par 1 000 $</t>
  </si>
  <si>
    <t>Personnes à charge</t>
  </si>
  <si>
    <t>D'un autre collège ou d'une autre université</t>
  </si>
  <si>
    <t>From any other college or university</t>
  </si>
  <si>
    <t>Taux 2021</t>
  </si>
  <si>
    <t xml:space="preserve">Prime par période de paie pour l'assurance maladies graves : </t>
  </si>
  <si>
    <t>Prime par période de paye</t>
  </si>
  <si>
    <t>Attention dans les cellules avec congé de prime</t>
  </si>
  <si>
    <t>Congé</t>
  </si>
  <si>
    <t>Daniel Légaré</t>
  </si>
  <si>
    <t>De l'ITHQ ou de l'ITAQ</t>
  </si>
  <si>
    <t>From ITHQ or ITAQ</t>
  </si>
  <si>
    <t>Copié du Taux français</t>
  </si>
  <si>
    <t>x</t>
  </si>
  <si>
    <t>Salaire arrondi à 500 $</t>
  </si>
  <si>
    <t>Taux au 1er janvier 2023</t>
  </si>
  <si>
    <t>Le congé de 50 % est compris dans les taux ci-dessus</t>
  </si>
  <si>
    <t>Les taux 2023 ont été sont confirmés par La Capitale</t>
  </si>
  <si>
    <t>Choice of coverage (Write an X beside your choice and erase the other ones)</t>
  </si>
  <si>
    <t>I want to enroll in</t>
  </si>
  <si>
    <t>I want to enroll in Long Term Disability Insurance coverage</t>
  </si>
  <si>
    <t>I want to enroll in Basic Life Insurance</t>
  </si>
  <si>
    <t>Note: This calculator only gives an estimate of the costs of the coverage options selected. The information included in the calculator and the results obtained only offers guidelines to the participant making her/his decision. Therefore, the estimate and the results obtained have no legal value and do not bind in any circumstance Beneva or the FNEEQ-CSN.</t>
  </si>
  <si>
    <t>Avis
Ce calculateur pour le cout des assurances ne fournit qu’une estimation du cout des protections choisies. Les renseignements s’y trouvant et les résultats obtenus ne servent que de guide afin de permettre au participant d’effectuer son choix. Par conséquent, l’estimation obtenue n’a aucune valeur légale et ne lie en aucun cas l’assureur Beneva ou la FNEEQ-CSN.</t>
  </si>
  <si>
    <t>Tranches additionnelles prises avant le 1er janvier 2013                               (1 à 7 tranches de 20 000 $)</t>
  </si>
  <si>
    <t xml:space="preserve">tranches de 20 000 $ pour un total de : </t>
  </si>
  <si>
    <t xml:space="preserve">tranches de 25 000 $ pour un total de : </t>
  </si>
  <si>
    <t>tranches de 25 000 $ pour un total de :</t>
  </si>
  <si>
    <t>Taux par période de 14 jours par 1 000 $ de salaire annuel :</t>
  </si>
  <si>
    <t xml:space="preserve">Taux par période de 14 jours par 1 000 $ d'assurance vie : </t>
  </si>
  <si>
    <t>Taux par période de 14 jours par 1 000 $ d'assurance :</t>
  </si>
  <si>
    <t>Tranches additionnelles prises à compter du 1er janvier 2013                     (1 à 10 tranches de 25 000 $)</t>
  </si>
  <si>
    <t>Taux par période de 14 jours pour 1 000 $ d'assurance :</t>
  </si>
  <si>
    <t xml:space="preserve">Cost per pay period (14 days) : </t>
  </si>
  <si>
    <t xml:space="preserve">Annual cost (26 pay periods) : </t>
  </si>
  <si>
    <t xml:space="preserve">9% tax : </t>
  </si>
  <si>
    <t xml:space="preserve">Total cost per pay period before your employer contribution : </t>
  </si>
  <si>
    <t xml:space="preserve">Employer's contribution per pay period : </t>
  </si>
  <si>
    <t xml:space="preserve">Total cost per pay period (14 days) including tax : </t>
  </si>
  <si>
    <t xml:space="preserve">Annual cost (26 pay periods) including tax : </t>
  </si>
  <si>
    <t xml:space="preserve">units of 25 000 $ for a total of : </t>
  </si>
  <si>
    <t xml:space="preserve">If it's not already done,write your annual salary : </t>
  </si>
  <si>
    <t xml:space="preserve">If it's not already done, write your annual salary : </t>
  </si>
  <si>
    <t xml:space="preserve">Insured amount : </t>
  </si>
  <si>
    <t xml:space="preserve">Coast per pay period for Critical Illness Insurance : </t>
  </si>
  <si>
    <t xml:space="preserve">units of 20 000 $ for a total of : </t>
  </si>
  <si>
    <t>Additional units taken out before January 1, 2013 (1 to 7 units of 20 000 $)</t>
  </si>
  <si>
    <t>Additional units taken out after January 1, 2013 (1 to 10 units of 25 000 $)</t>
  </si>
  <si>
    <t>units of 20 000 $ for a total of :</t>
  </si>
  <si>
    <t>units of 25 000 $ for a total of :</t>
  </si>
  <si>
    <t xml:space="preserve">Rate per 14-day period per 1 000 $ of annual salary : </t>
  </si>
  <si>
    <r>
      <t xml:space="preserve">Rate per 14-day period per 1 000 </t>
    </r>
    <r>
      <rPr>
        <u/>
        <sz val="11"/>
        <color theme="1"/>
        <rFont val="Calibri"/>
        <family val="2"/>
        <scheme val="minor"/>
      </rPr>
      <t>$</t>
    </r>
    <r>
      <rPr>
        <sz val="11"/>
        <color theme="1"/>
        <rFont val="Calibri"/>
        <family val="2"/>
        <scheme val="minor"/>
      </rPr>
      <t xml:space="preserve">  of life insurance :  </t>
    </r>
  </si>
  <si>
    <t>tranches de 20 000 $ pour un total de : </t>
  </si>
  <si>
    <t xml:space="preserve">Taux par période de 14 jours par 1 000 $ de salaire annuel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</si>
</sst>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0.00\ &quot;$&quot;_);[Red]\(#,##0.00\ &quot;$&quot;\)"/>
    <numFmt numFmtId="44" formatCode="_ * #,##0.00_)\ &quot;$&quot;_ ;_ * \(#,##0.00\)\ &quot;$&quot;_ ;_ * &quot;-&quot;??_)\ &quot;$&quot;_ ;_ @_ "/>
    <numFmt numFmtId="164" formatCode="_ * #,##0.000_)\ &quot;$&quot;_ ;_ * \(#,##0.000\)\ &quot;$&quot;_ ;_ * &quot;-&quot;???_)\ &quot;$&quot;_ ;_ @_ "/>
    <numFmt numFmtId="165" formatCode="_ * #,##0.0000_)\ &quot;$&quot;_ ;_ * \(#,##0.0000\)\ &quot;$&quot;_ ;_ * &quot;-&quot;???_)\ &quot;$&quot;_ ;_ @_ "/>
    <numFmt numFmtId="166" formatCode="_ * #,##0_)\ &quot;$&quot;_ ;_ * \(#,##0\)\ &quot;$&quot;_ ;_ * &quot;-&quot;??_)\ &quot;$&quot;_ ;_ @_ "/>
    <numFmt numFmtId="167" formatCode="_ * #,##0.000_)\ &quot;$&quot;_ ;_ * \(#,##0.000\)\ &quot;$&quot;_ ;_ * &quot;-&quot;??_)\ &quot;$&quot;_ ;_ @_ "/>
    <numFmt numFmtId="168" formatCode="_ * #,##0.000000_)\ &quot;$&quot;_ ;_ * \(#,##0.000000\)\ &quot;$&quot;_ ;_ * &quot;-&quot;??_)\ &quot;$&quot;_ ;_ @_ "/>
    <numFmt numFmtId="169" formatCode="0.0%"/>
    <numFmt numFmtId="170" formatCode="_ * #,##0.00_)\ &quot;$&quot;_ ;_ * \(#,##0.00\)\ &quot;$&quot;_ ;_ * &quot;-&quot;???_)\ &quot;$&quot;_ ;_ @_ "/>
    <numFmt numFmtId="171" formatCode="#,##0.0000\ &quot;$&quot;"/>
    <numFmt numFmtId="172" formatCode="#,##0.00\ &quot;$&quot;"/>
    <numFmt numFmtId="173" formatCode="#,##0.000\ &quot;$&quot;"/>
    <numFmt numFmtId="174" formatCode="#,##0\ &quot;$&quot;"/>
    <numFmt numFmtId="175" formatCode=";;;"/>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26"/>
      <color theme="1"/>
      <name val="Calibri"/>
      <family val="2"/>
      <scheme val="minor"/>
    </font>
    <font>
      <b/>
      <sz val="16"/>
      <color theme="1"/>
      <name val="Calibri"/>
      <family val="2"/>
      <scheme val="minor"/>
    </font>
    <font>
      <sz val="10"/>
      <color theme="1"/>
      <name val="Calibri"/>
      <family val="2"/>
      <scheme val="minor"/>
    </font>
    <font>
      <b/>
      <sz val="10"/>
      <color rgb="FFFF0000"/>
      <name val="Calibri"/>
      <family val="2"/>
      <scheme val="minor"/>
    </font>
    <font>
      <b/>
      <sz val="28"/>
      <color theme="1"/>
      <name val="Calibri"/>
      <family val="2"/>
      <scheme val="minor"/>
    </font>
    <font>
      <b/>
      <sz val="10"/>
      <color rgb="FF002060"/>
      <name val="Calibri"/>
      <family val="2"/>
      <scheme val="minor"/>
    </font>
    <font>
      <b/>
      <sz val="11"/>
      <color rgb="FFFF0000"/>
      <name val="Calibri"/>
      <family val="2"/>
      <scheme val="minor"/>
    </font>
    <font>
      <b/>
      <sz val="12"/>
      <color theme="1"/>
      <name val="Calibri"/>
      <family val="2"/>
      <scheme val="minor"/>
    </font>
    <font>
      <b/>
      <sz val="11"/>
      <color rgb="FFC80000"/>
      <name val="Calibri"/>
      <family val="2"/>
      <scheme val="minor"/>
    </font>
    <font>
      <b/>
      <sz val="12"/>
      <color rgb="FFC80000"/>
      <name val="Calibri"/>
      <family val="2"/>
      <scheme val="minor"/>
    </font>
    <font>
      <sz val="12"/>
      <color theme="1"/>
      <name val="Calibri"/>
      <family val="2"/>
      <scheme val="minor"/>
    </font>
    <font>
      <b/>
      <sz val="11"/>
      <color rgb="FFC00000"/>
      <name val="Calibri"/>
      <family val="2"/>
      <scheme val="minor"/>
    </font>
    <font>
      <b/>
      <sz val="11"/>
      <name val="Calibri"/>
      <family val="2"/>
      <scheme val="minor"/>
    </font>
    <font>
      <b/>
      <sz val="12"/>
      <color rgb="FFFF0000"/>
      <name val="Calibri"/>
      <family val="2"/>
      <scheme val="minor"/>
    </font>
    <font>
      <b/>
      <sz val="12"/>
      <color rgb="FFC00000"/>
      <name val="Calibri"/>
      <family val="2"/>
      <scheme val="minor"/>
    </font>
    <font>
      <b/>
      <sz val="9"/>
      <color indexed="81"/>
      <name val="Tahoma"/>
      <family val="2"/>
    </font>
    <font>
      <b/>
      <sz val="14"/>
      <name val="Calibri"/>
      <family val="2"/>
      <scheme val="minor"/>
    </font>
    <font>
      <b/>
      <sz val="11"/>
      <color indexed="8"/>
      <name val="Calibri"/>
      <family val="2"/>
    </font>
    <font>
      <sz val="11"/>
      <color indexed="8"/>
      <name val="Calibri"/>
      <family val="2"/>
    </font>
    <font>
      <sz val="14"/>
      <color theme="1"/>
      <name val="Calibri"/>
      <family val="2"/>
      <scheme val="minor"/>
    </font>
    <font>
      <sz val="11"/>
      <color rgb="FF9C0006"/>
      <name val="Calibri"/>
      <family val="2"/>
    </font>
    <font>
      <sz val="11"/>
      <color rgb="FFFF0000"/>
      <name val="Calibri"/>
      <family val="2"/>
      <scheme val="minor"/>
    </font>
    <font>
      <b/>
      <sz val="11"/>
      <color theme="6" tint="-0.249977111117893"/>
      <name val="Calibri"/>
      <family val="2"/>
      <scheme val="minor"/>
    </font>
    <font>
      <sz val="11"/>
      <color rgb="FFC00000"/>
      <name val="Calibri"/>
      <family val="2"/>
      <scheme val="minor"/>
    </font>
    <font>
      <u/>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89CCCC"/>
        <bgColor indexed="64"/>
      </patternFill>
    </fill>
    <fill>
      <patternFill patternType="solid">
        <fgColor rgb="FFECECCB"/>
        <bgColor indexed="64"/>
      </patternFill>
    </fill>
    <fill>
      <patternFill patternType="solid">
        <fgColor rgb="FFECECEC"/>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EAEAEA"/>
        <bgColor indexed="64"/>
      </patternFill>
    </fill>
    <fill>
      <patternFill patternType="solid">
        <fgColor theme="9" tint="0.59999389629810485"/>
        <bgColor indexed="64"/>
      </patternFill>
    </fill>
    <fill>
      <patternFill patternType="solid">
        <fgColor rgb="FFFFC7CE"/>
      </patternFill>
    </fill>
    <fill>
      <patternFill patternType="solid">
        <fgColor rgb="FFFFCCFF"/>
        <bgColor indexed="64"/>
      </patternFill>
    </fill>
    <fill>
      <patternFill patternType="solid">
        <fgColor theme="7" tint="0.79998168889431442"/>
        <bgColor indexed="64"/>
      </patternFill>
    </fill>
    <fill>
      <patternFill patternType="solid">
        <fgColor rgb="FFFFFFCC"/>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thin">
        <color auto="1"/>
      </right>
      <top style="thick">
        <color auto="1"/>
      </top>
      <bottom style="thin">
        <color auto="1"/>
      </bottom>
      <diagonal/>
    </border>
    <border>
      <left style="thick">
        <color indexed="64"/>
      </left>
      <right style="thick">
        <color indexed="64"/>
      </right>
      <top style="thick">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indexed="64"/>
      </top>
      <bottom/>
      <diagonal/>
    </border>
    <border>
      <left style="thick">
        <color auto="1"/>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style="thick">
        <color auto="1"/>
      </left>
      <right style="double">
        <color auto="1"/>
      </right>
      <top style="thick">
        <color auto="1"/>
      </top>
      <bottom style="thin">
        <color auto="1"/>
      </bottom>
      <diagonal/>
    </border>
    <border>
      <left style="double">
        <color auto="1"/>
      </left>
      <right style="thick">
        <color indexed="64"/>
      </right>
      <top style="thick">
        <color auto="1"/>
      </top>
      <bottom style="thin">
        <color auto="1"/>
      </bottom>
      <diagonal/>
    </border>
    <border>
      <left style="thick">
        <color auto="1"/>
      </left>
      <right style="double">
        <color auto="1"/>
      </right>
      <top style="thin">
        <color auto="1"/>
      </top>
      <bottom style="thin">
        <color auto="1"/>
      </bottom>
      <diagonal/>
    </border>
    <border>
      <left style="double">
        <color auto="1"/>
      </left>
      <right style="thick">
        <color indexed="64"/>
      </right>
      <top style="thin">
        <color auto="1"/>
      </top>
      <bottom style="thin">
        <color auto="1"/>
      </bottom>
      <diagonal/>
    </border>
    <border>
      <left style="thick">
        <color auto="1"/>
      </left>
      <right style="double">
        <color auto="1"/>
      </right>
      <top style="thin">
        <color auto="1"/>
      </top>
      <bottom style="thick">
        <color indexed="64"/>
      </bottom>
      <diagonal/>
    </border>
    <border>
      <left/>
      <right style="thick">
        <color indexed="64"/>
      </right>
      <top style="thin">
        <color indexed="64"/>
      </top>
      <bottom style="thin">
        <color indexed="64"/>
      </bottom>
      <diagonal/>
    </border>
    <border>
      <left/>
      <right style="thick">
        <color indexed="64"/>
      </right>
      <top style="thin">
        <color auto="1"/>
      </top>
      <bottom style="thick">
        <color indexed="64"/>
      </bottom>
      <diagonal/>
    </border>
    <border>
      <left style="thick">
        <color indexed="64"/>
      </left>
      <right style="double">
        <color indexed="64"/>
      </right>
      <top style="double">
        <color indexed="64"/>
      </top>
      <bottom style="thin">
        <color indexed="64"/>
      </bottom>
      <diagonal/>
    </border>
    <border>
      <left style="thin">
        <color auto="1"/>
      </left>
      <right style="thin">
        <color auto="1"/>
      </right>
      <top style="thick">
        <color auto="1"/>
      </top>
      <bottom style="thick">
        <color indexed="64"/>
      </bottom>
      <diagonal/>
    </border>
    <border>
      <left style="thin">
        <color auto="1"/>
      </left>
      <right style="thick">
        <color indexed="64"/>
      </right>
      <top style="thick">
        <color auto="1"/>
      </top>
      <bottom style="thick">
        <color indexed="64"/>
      </bottom>
      <diagonal/>
    </border>
    <border>
      <left style="medium">
        <color indexed="64"/>
      </left>
      <right/>
      <top/>
      <bottom/>
      <diagonal/>
    </border>
    <border>
      <left style="thin">
        <color auto="1"/>
      </left>
      <right style="thin">
        <color auto="1"/>
      </right>
      <top style="thick">
        <color auto="1"/>
      </top>
      <bottom/>
      <diagonal/>
    </border>
    <border>
      <left style="thick">
        <color rgb="FFFF0000"/>
      </left>
      <right style="double">
        <color auto="1"/>
      </right>
      <top style="thick">
        <color rgb="FFFF0000"/>
      </top>
      <bottom style="thin">
        <color auto="1"/>
      </bottom>
      <diagonal/>
    </border>
    <border>
      <left style="double">
        <color auto="1"/>
      </left>
      <right style="thick">
        <color rgb="FFFF0000"/>
      </right>
      <top style="thick">
        <color rgb="FFFF0000"/>
      </top>
      <bottom style="thin">
        <color auto="1"/>
      </bottom>
      <diagonal/>
    </border>
    <border>
      <left style="thick">
        <color rgb="FFFF0000"/>
      </left>
      <right style="double">
        <color auto="1"/>
      </right>
      <top style="thin">
        <color auto="1"/>
      </top>
      <bottom style="thin">
        <color auto="1"/>
      </bottom>
      <diagonal/>
    </border>
    <border>
      <left style="double">
        <color auto="1"/>
      </left>
      <right style="thick">
        <color rgb="FFFF0000"/>
      </right>
      <top style="thin">
        <color auto="1"/>
      </top>
      <bottom style="thin">
        <color auto="1"/>
      </bottom>
      <diagonal/>
    </border>
    <border>
      <left style="thick">
        <color rgb="FFFF0000"/>
      </left>
      <right style="double">
        <color auto="1"/>
      </right>
      <top style="thin">
        <color auto="1"/>
      </top>
      <bottom style="thick">
        <color rgb="FFFF0000"/>
      </bottom>
      <diagonal/>
    </border>
    <border>
      <left style="double">
        <color auto="1"/>
      </left>
      <right style="thick">
        <color rgb="FFFF0000"/>
      </right>
      <top style="thin">
        <color auto="1"/>
      </top>
      <bottom style="thick">
        <color rgb="FFFF0000"/>
      </bottom>
      <diagonal/>
    </border>
    <border>
      <left style="thick">
        <color auto="1"/>
      </left>
      <right style="double">
        <color auto="1"/>
      </right>
      <top style="thick">
        <color auto="1"/>
      </top>
      <bottom style="thick">
        <color rgb="FFFF0000"/>
      </bottom>
      <diagonal/>
    </border>
    <border>
      <left style="double">
        <color auto="1"/>
      </left>
      <right style="thick">
        <color auto="1"/>
      </right>
      <top style="thick">
        <color auto="1"/>
      </top>
      <bottom style="thick">
        <color rgb="FFFF0000"/>
      </bottom>
      <diagonal/>
    </border>
    <border>
      <left/>
      <right/>
      <top style="medium">
        <color indexed="64"/>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bottom style="thin">
        <color indexed="64"/>
      </bottom>
      <diagonal/>
    </border>
    <border>
      <left style="double">
        <color auto="1"/>
      </left>
      <right style="thick">
        <color auto="1"/>
      </right>
      <top style="thin">
        <color auto="1"/>
      </top>
      <bottom style="thick">
        <color auto="1"/>
      </bottom>
      <diagonal/>
    </border>
    <border>
      <left style="thick">
        <color auto="1"/>
      </left>
      <right style="double">
        <color auto="1"/>
      </right>
      <top/>
      <bottom style="thin">
        <color auto="1"/>
      </bottom>
      <diagonal/>
    </border>
    <border>
      <left style="double">
        <color auto="1"/>
      </left>
      <right style="thick">
        <color indexed="64"/>
      </right>
      <top/>
      <bottom style="thin">
        <color auto="1"/>
      </bottom>
      <diagonal/>
    </border>
    <border>
      <left style="thick">
        <color auto="1"/>
      </left>
      <right style="double">
        <color auto="1"/>
      </right>
      <top style="thick">
        <color auto="1"/>
      </top>
      <bottom style="double">
        <color auto="1"/>
      </bottom>
      <diagonal/>
    </border>
    <border>
      <left style="double">
        <color auto="1"/>
      </left>
      <right style="thick">
        <color auto="1"/>
      </right>
      <top style="thick">
        <color auto="1"/>
      </top>
      <bottom style="double">
        <color auto="1"/>
      </bottom>
      <diagonal/>
    </border>
    <border>
      <left style="thick">
        <color indexed="64"/>
      </left>
      <right style="thick">
        <color indexed="64"/>
      </right>
      <top style="thin">
        <color indexed="64"/>
      </top>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00B050"/>
      </left>
      <right style="thin">
        <color auto="1"/>
      </right>
      <top style="thin">
        <color indexed="64"/>
      </top>
      <bottom style="double">
        <color indexed="64"/>
      </bottom>
      <diagonal/>
    </border>
    <border>
      <left style="thin">
        <color auto="1"/>
      </left>
      <right style="thick">
        <color rgb="FF00B050"/>
      </right>
      <top style="thin">
        <color indexed="64"/>
      </top>
      <bottom style="double">
        <color indexed="64"/>
      </bottom>
      <diagonal/>
    </border>
    <border>
      <left style="thick">
        <color rgb="FF00B050"/>
      </left>
      <right style="thin">
        <color auto="1"/>
      </right>
      <top/>
      <bottom style="thin">
        <color auto="1"/>
      </bottom>
      <diagonal/>
    </border>
    <border>
      <left style="thin">
        <color auto="1"/>
      </left>
      <right style="thick">
        <color rgb="FF00B050"/>
      </right>
      <top/>
      <bottom style="thin">
        <color auto="1"/>
      </bottom>
      <diagonal/>
    </border>
    <border>
      <left style="thin">
        <color auto="1"/>
      </left>
      <right style="thick">
        <color rgb="FF00B050"/>
      </right>
      <top style="thin">
        <color indexed="64"/>
      </top>
      <bottom style="thin">
        <color indexed="64"/>
      </bottom>
      <diagonal/>
    </border>
    <border>
      <left style="thick">
        <color rgb="FF00B050"/>
      </left>
      <right style="thin">
        <color auto="1"/>
      </right>
      <top style="thin">
        <color indexed="64"/>
      </top>
      <bottom style="thin">
        <color indexed="64"/>
      </bottom>
      <diagonal/>
    </border>
    <border>
      <left style="thick">
        <color rgb="FF00B050"/>
      </left>
      <right style="thin">
        <color auto="1"/>
      </right>
      <top style="thin">
        <color indexed="64"/>
      </top>
      <bottom style="thick">
        <color rgb="FF00B050"/>
      </bottom>
      <diagonal/>
    </border>
    <border>
      <left style="thin">
        <color auto="1"/>
      </left>
      <right style="thin">
        <color auto="1"/>
      </right>
      <top style="thin">
        <color indexed="64"/>
      </top>
      <bottom style="thick">
        <color rgb="FF00B050"/>
      </bottom>
      <diagonal/>
    </border>
    <border>
      <left style="thin">
        <color auto="1"/>
      </left>
      <right style="thick">
        <color rgb="FF00B050"/>
      </right>
      <top style="thin">
        <color auto="1"/>
      </top>
      <bottom style="thick">
        <color rgb="FF00B050"/>
      </bottom>
      <diagonal/>
    </border>
    <border>
      <left style="thick">
        <color rgb="FFFF0000"/>
      </left>
      <right/>
      <top style="thick">
        <color rgb="FFFF0000"/>
      </top>
      <bottom/>
      <diagonal/>
    </border>
    <border>
      <left style="thick">
        <color indexed="64"/>
      </left>
      <right style="thick">
        <color rgb="FFFF0000"/>
      </right>
      <top style="thick">
        <color rgb="FFFF0000"/>
      </top>
      <bottom style="thin">
        <color indexed="64"/>
      </bottom>
      <diagonal/>
    </border>
    <border>
      <left style="thick">
        <color rgb="FFFF0000"/>
      </left>
      <right/>
      <top/>
      <bottom/>
      <diagonal/>
    </border>
    <border>
      <left style="thick">
        <color indexed="64"/>
      </left>
      <right style="thick">
        <color rgb="FFFF0000"/>
      </right>
      <top style="thin">
        <color indexed="64"/>
      </top>
      <bottom style="thin">
        <color indexed="64"/>
      </bottom>
      <diagonal/>
    </border>
    <border>
      <left style="thick">
        <color rgb="FFFF0000"/>
      </left>
      <right/>
      <top/>
      <bottom style="thick">
        <color rgb="FFFF0000"/>
      </bottom>
      <diagonal/>
    </border>
    <border>
      <left style="thick">
        <color indexed="64"/>
      </left>
      <right style="thick">
        <color rgb="FFFF0000"/>
      </right>
      <top style="thin">
        <color indexed="64"/>
      </top>
      <bottom style="thick">
        <color rgb="FFFF0000"/>
      </bottom>
      <diagonal/>
    </border>
  </borders>
  <cellStyleXfs count="5">
    <xf numFmtId="0" fontId="0" fillId="0" borderId="0"/>
    <xf numFmtId="44" fontId="1" fillId="0" borderId="0" applyFont="0" applyFill="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cellStyleXfs>
  <cellXfs count="742">
    <xf numFmtId="0" fontId="0" fillId="0" borderId="0" xfId="0"/>
    <xf numFmtId="0" fontId="2" fillId="0" borderId="0" xfId="0" applyFon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8" xfId="0" applyBorder="1"/>
    <xf numFmtId="0" fontId="0" fillId="0" borderId="0" xfId="0" applyFill="1" applyBorder="1" applyAlignment="1">
      <alignment horizontal="right"/>
    </xf>
    <xf numFmtId="0" fontId="0" fillId="0" borderId="0" xfId="0" applyFont="1"/>
    <xf numFmtId="166" fontId="0" fillId="0" borderId="0" xfId="1" applyNumberFormat="1" applyFont="1"/>
    <xf numFmtId="0" fontId="0" fillId="0" borderId="1" xfId="0" applyBorder="1" applyProtection="1"/>
    <xf numFmtId="0" fontId="0" fillId="0" borderId="2" xfId="0" applyBorder="1" applyAlignment="1" applyProtection="1">
      <alignment horizontal="center"/>
    </xf>
    <xf numFmtId="0" fontId="0" fillId="0" borderId="0" xfId="0" applyFill="1" applyProtection="1"/>
    <xf numFmtId="0" fontId="0" fillId="0" borderId="0" xfId="0" applyProtection="1"/>
    <xf numFmtId="0" fontId="0" fillId="0" borderId="6" xfId="0" applyBorder="1" applyProtection="1"/>
    <xf numFmtId="0" fontId="0" fillId="0" borderId="7" xfId="0" applyBorder="1" applyAlignment="1" applyProtection="1">
      <alignment horizontal="center"/>
    </xf>
    <xf numFmtId="0" fontId="0" fillId="5" borderId="1" xfId="0" applyFill="1" applyBorder="1" applyProtection="1"/>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44" fontId="0" fillId="5" borderId="0" xfId="0" applyNumberFormat="1" applyFill="1" applyBorder="1" applyAlignment="1" applyProtection="1">
      <alignment vertical="center"/>
    </xf>
    <xf numFmtId="0" fontId="0" fillId="5" borderId="5"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xf numFmtId="0" fontId="0" fillId="5" borderId="0" xfId="0" applyFill="1" applyProtection="1"/>
    <xf numFmtId="0" fontId="0" fillId="5" borderId="0" xfId="0" applyFill="1" applyBorder="1" applyAlignment="1" applyProtection="1">
      <alignment vertical="center"/>
    </xf>
    <xf numFmtId="0" fontId="0" fillId="5" borderId="0" xfId="0" applyFill="1" applyAlignment="1" applyProtection="1">
      <alignment horizontal="right" vertical="center"/>
    </xf>
    <xf numFmtId="168" fontId="0" fillId="5" borderId="0" xfId="0" applyNumberFormat="1" applyFill="1" applyBorder="1" applyAlignment="1" applyProtection="1"/>
    <xf numFmtId="0" fontId="0" fillId="5" borderId="0" xfId="0" applyFill="1" applyAlignment="1" applyProtection="1">
      <alignment vertical="center"/>
    </xf>
    <xf numFmtId="0" fontId="0" fillId="3" borderId="1" xfId="0" applyFill="1" applyBorder="1" applyProtection="1"/>
    <xf numFmtId="0" fontId="5" fillId="3" borderId="2" xfId="0" applyFont="1" applyFill="1" applyBorder="1" applyProtection="1"/>
    <xf numFmtId="0" fontId="0" fillId="3" borderId="2" xfId="0" applyFill="1" applyBorder="1" applyProtection="1"/>
    <xf numFmtId="0" fontId="0" fillId="3" borderId="2" xfId="0" applyFill="1" applyBorder="1" applyAlignment="1" applyProtection="1">
      <alignment vertical="center"/>
    </xf>
    <xf numFmtId="0" fontId="0" fillId="3" borderId="3" xfId="0" applyFill="1" applyBorder="1" applyProtection="1"/>
    <xf numFmtId="0" fontId="0" fillId="3" borderId="4" xfId="0" applyFill="1" applyBorder="1" applyProtection="1"/>
    <xf numFmtId="0" fontId="5" fillId="3" borderId="0" xfId="0" applyFont="1" applyFill="1" applyBorder="1" applyProtection="1"/>
    <xf numFmtId="0" fontId="0" fillId="3" borderId="13" xfId="0" applyFill="1" applyBorder="1" applyProtection="1"/>
    <xf numFmtId="0" fontId="0" fillId="3" borderId="0" xfId="0" applyFill="1" applyBorder="1" applyProtection="1"/>
    <xf numFmtId="0" fontId="0" fillId="3" borderId="0" xfId="0" applyFill="1" applyBorder="1" applyAlignment="1" applyProtection="1">
      <alignment vertical="center"/>
    </xf>
    <xf numFmtId="0" fontId="0" fillId="3" borderId="5" xfId="0" applyFill="1" applyBorder="1" applyProtection="1"/>
    <xf numFmtId="0" fontId="3" fillId="3" borderId="0" xfId="0" applyFont="1" applyFill="1" applyBorder="1" applyProtection="1"/>
    <xf numFmtId="0" fontId="11" fillId="3"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0" fillId="3" borderId="0" xfId="0" applyFill="1" applyBorder="1" applyAlignment="1" applyProtection="1">
      <alignment horizontal="left"/>
    </xf>
    <xf numFmtId="0" fontId="0" fillId="3" borderId="0" xfId="0" applyFill="1" applyBorder="1" applyAlignment="1" applyProtection="1">
      <alignment horizontal="right" vertical="center"/>
    </xf>
    <xf numFmtId="44" fontId="0" fillId="3" borderId="16" xfId="0" applyNumberFormat="1" applyFill="1" applyBorder="1" applyAlignment="1" applyProtection="1">
      <alignment vertical="center"/>
    </xf>
    <xf numFmtId="0" fontId="13" fillId="3" borderId="0" xfId="0" applyFont="1" applyFill="1" applyBorder="1" applyAlignment="1" applyProtection="1">
      <alignment horizontal="left" vertical="top" wrapText="1"/>
    </xf>
    <xf numFmtId="44" fontId="0" fillId="3" borderId="0" xfId="0" applyNumberFormat="1" applyFill="1" applyBorder="1" applyAlignment="1" applyProtection="1">
      <alignment vertical="center"/>
    </xf>
    <xf numFmtId="0" fontId="0" fillId="3" borderId="6" xfId="0" applyFill="1" applyBorder="1" applyProtection="1"/>
    <xf numFmtId="0" fontId="0" fillId="3" borderId="7" xfId="0" applyFill="1" applyBorder="1" applyProtection="1"/>
    <xf numFmtId="0" fontId="0" fillId="3" borderId="7" xfId="0" applyFill="1" applyBorder="1" applyAlignment="1" applyProtection="1">
      <alignment vertical="center"/>
    </xf>
    <xf numFmtId="0" fontId="0" fillId="3" borderId="8" xfId="0" applyFill="1" applyBorder="1" applyProtection="1"/>
    <xf numFmtId="0" fontId="0" fillId="5" borderId="2" xfId="0" applyFill="1" applyBorder="1" applyAlignment="1" applyProtection="1">
      <alignment vertical="center"/>
    </xf>
    <xf numFmtId="0" fontId="5" fillId="5" borderId="0" xfId="0" applyFont="1" applyFill="1" applyBorder="1" applyProtection="1"/>
    <xf numFmtId="0" fontId="9" fillId="5" borderId="0" xfId="0" applyFont="1" applyFill="1" applyBorder="1" applyProtection="1"/>
    <xf numFmtId="0" fontId="0" fillId="5" borderId="0" xfId="0" applyFill="1" applyBorder="1" applyAlignment="1" applyProtection="1">
      <alignment horizontal="left"/>
    </xf>
    <xf numFmtId="164" fontId="0" fillId="5" borderId="0" xfId="0" applyNumberFormat="1" applyFill="1" applyBorder="1" applyAlignment="1" applyProtection="1"/>
    <xf numFmtId="0" fontId="0" fillId="5" borderId="0" xfId="0" applyFill="1" applyBorder="1" applyAlignment="1" applyProtection="1">
      <alignment wrapText="1"/>
    </xf>
    <xf numFmtId="0" fontId="0" fillId="5" borderId="6" xfId="0" applyFill="1" applyBorder="1" applyProtection="1"/>
    <xf numFmtId="0" fontId="0" fillId="5" borderId="7" xfId="0" applyFill="1" applyBorder="1" applyProtection="1"/>
    <xf numFmtId="0" fontId="0" fillId="5" borderId="7" xfId="0" applyFill="1" applyBorder="1" applyAlignment="1" applyProtection="1">
      <alignment vertical="center"/>
    </xf>
    <xf numFmtId="0" fontId="0" fillId="5" borderId="8" xfId="0" applyFill="1" applyBorder="1" applyProtection="1"/>
    <xf numFmtId="0" fontId="6" fillId="3" borderId="2" xfId="0" applyFont="1" applyFill="1" applyBorder="1" applyProtection="1"/>
    <xf numFmtId="0" fontId="6" fillId="3" borderId="0" xfId="0" applyFont="1" applyFill="1" applyBorder="1" applyProtection="1"/>
    <xf numFmtId="0" fontId="0" fillId="3" borderId="0" xfId="0" applyFill="1" applyBorder="1" applyAlignment="1" applyProtection="1">
      <alignment vertical="top"/>
    </xf>
    <xf numFmtId="0" fontId="0" fillId="3" borderId="0" xfId="0" applyFill="1" applyBorder="1" applyAlignment="1" applyProtection="1">
      <alignment vertical="center" wrapText="1"/>
    </xf>
    <xf numFmtId="0" fontId="12" fillId="3" borderId="0" xfId="0" applyFont="1" applyFill="1" applyBorder="1" applyAlignment="1" applyProtection="1">
      <alignment horizontal="left" vertical="center" wrapText="1"/>
    </xf>
    <xf numFmtId="164" fontId="0" fillId="3" borderId="0" xfId="0" applyNumberFormat="1" applyFill="1" applyBorder="1" applyAlignment="1" applyProtection="1">
      <alignment vertical="center"/>
    </xf>
    <xf numFmtId="44" fontId="0" fillId="3" borderId="14" xfId="0" applyNumberFormat="1" applyFill="1" applyBorder="1" applyAlignment="1" applyProtection="1">
      <alignment vertical="center"/>
    </xf>
    <xf numFmtId="0" fontId="12" fillId="5" borderId="2" xfId="0" applyFont="1" applyFill="1" applyBorder="1" applyAlignment="1" applyProtection="1">
      <alignment horizontal="left" vertical="top" wrapText="1"/>
    </xf>
    <xf numFmtId="0" fontId="0" fillId="4" borderId="0" xfId="0" applyFill="1" applyProtection="1"/>
    <xf numFmtId="0" fontId="12" fillId="5" borderId="0" xfId="0" applyFont="1" applyFill="1" applyBorder="1" applyAlignment="1" applyProtection="1">
      <alignment vertical="top"/>
    </xf>
    <xf numFmtId="0" fontId="17" fillId="5" borderId="0" xfId="0" applyFont="1" applyFill="1" applyBorder="1" applyAlignment="1" applyProtection="1">
      <alignment vertical="top" wrapText="1"/>
    </xf>
    <xf numFmtId="0" fontId="0" fillId="5" borderId="0" xfId="0" applyFill="1" applyBorder="1" applyAlignment="1" applyProtection="1">
      <alignment vertical="top"/>
    </xf>
    <xf numFmtId="0" fontId="0" fillId="5" borderId="0" xfId="0" applyFill="1" applyBorder="1" applyAlignment="1" applyProtection="1">
      <alignment horizontal="center" wrapText="1"/>
    </xf>
    <xf numFmtId="0" fontId="0" fillId="5" borderId="0" xfId="0" applyFill="1" applyBorder="1" applyAlignment="1" applyProtection="1">
      <alignment horizontal="right" vertical="center"/>
    </xf>
    <xf numFmtId="164" fontId="0" fillId="5" borderId="0" xfId="0" applyNumberFormat="1" applyFill="1" applyBorder="1" applyAlignment="1" applyProtection="1">
      <alignment horizontal="right" vertical="center"/>
    </xf>
    <xf numFmtId="166" fontId="0" fillId="5" borderId="0" xfId="0" applyNumberFormat="1" applyFill="1" applyBorder="1" applyAlignment="1" applyProtection="1">
      <alignment vertical="center"/>
    </xf>
    <xf numFmtId="164" fontId="0" fillId="5" borderId="0" xfId="0" applyNumberFormat="1" applyFill="1" applyBorder="1" applyAlignment="1" applyProtection="1">
      <alignment vertical="center"/>
    </xf>
    <xf numFmtId="0" fontId="10" fillId="5" borderId="0" xfId="0" applyFont="1" applyFill="1" applyBorder="1" applyProtection="1"/>
    <xf numFmtId="0" fontId="7" fillId="5" borderId="0" xfId="0" applyFont="1" applyFill="1" applyBorder="1" applyAlignment="1" applyProtection="1">
      <alignment vertical="top"/>
    </xf>
    <xf numFmtId="165" fontId="0" fillId="5" borderId="0" xfId="0" applyNumberFormat="1" applyFill="1" applyBorder="1" applyAlignment="1" applyProtection="1">
      <alignment vertical="center"/>
    </xf>
    <xf numFmtId="170" fontId="0" fillId="5" borderId="0" xfId="0" applyNumberFormat="1" applyFill="1" applyBorder="1" applyAlignment="1" applyProtection="1">
      <alignment vertical="center"/>
    </xf>
    <xf numFmtId="0" fontId="0" fillId="5" borderId="7" xfId="0" applyFill="1" applyBorder="1" applyAlignment="1" applyProtection="1">
      <alignment horizontal="right" vertical="center"/>
    </xf>
    <xf numFmtId="0" fontId="6" fillId="3" borderId="0" xfId="0" applyFont="1" applyFill="1" applyBorder="1" applyAlignment="1" applyProtection="1">
      <alignment vertical="top"/>
    </xf>
    <xf numFmtId="0" fontId="0" fillId="2" borderId="0" xfId="0" applyFill="1" applyProtection="1"/>
    <xf numFmtId="0" fontId="17" fillId="3" borderId="0" xfId="0" applyFont="1" applyFill="1" applyBorder="1" applyAlignment="1" applyProtection="1">
      <alignment vertical="top"/>
    </xf>
    <xf numFmtId="0" fontId="13" fillId="3" borderId="0" xfId="0" applyFont="1" applyFill="1" applyBorder="1" applyProtection="1"/>
    <xf numFmtId="166" fontId="0" fillId="5" borderId="0" xfId="1" applyNumberFormat="1" applyFont="1" applyFill="1" applyBorder="1" applyAlignment="1" applyProtection="1">
      <alignment vertical="center"/>
    </xf>
    <xf numFmtId="0" fontId="0" fillId="5" borderId="0" xfId="0" applyFill="1" applyBorder="1" applyAlignment="1" applyProtection="1">
      <alignment horizontal="left" wrapText="1"/>
    </xf>
    <xf numFmtId="0" fontId="0" fillId="5" borderId="0" xfId="0" applyFill="1" applyBorder="1" applyAlignment="1" applyProtection="1">
      <alignment vertical="center" wrapText="1"/>
    </xf>
    <xf numFmtId="0" fontId="11" fillId="5" borderId="0" xfId="0" applyFont="1" applyFill="1" applyBorder="1" applyAlignment="1" applyProtection="1">
      <alignment vertical="center"/>
    </xf>
    <xf numFmtId="0" fontId="0" fillId="5" borderId="0" xfId="0" applyFill="1" applyBorder="1" applyAlignment="1" applyProtection="1">
      <alignment vertical="top" wrapText="1"/>
    </xf>
    <xf numFmtId="0" fontId="0" fillId="5" borderId="0" xfId="0"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0" fillId="5" borderId="27" xfId="0" applyFill="1" applyBorder="1" applyProtection="1"/>
    <xf numFmtId="0" fontId="12" fillId="5" borderId="28" xfId="0" applyFont="1" applyFill="1" applyBorder="1" applyAlignment="1" applyProtection="1">
      <alignment horizontal="left" vertical="top" wrapText="1"/>
    </xf>
    <xf numFmtId="0" fontId="0" fillId="5" borderId="28" xfId="0" applyFill="1" applyBorder="1" applyProtection="1"/>
    <xf numFmtId="0" fontId="0" fillId="5" borderId="28" xfId="0" applyFill="1" applyBorder="1" applyAlignment="1" applyProtection="1">
      <alignment vertical="center"/>
    </xf>
    <xf numFmtId="0" fontId="0" fillId="5" borderId="29" xfId="0" applyFill="1" applyBorder="1" applyProtection="1"/>
    <xf numFmtId="0" fontId="13" fillId="5" borderId="9" xfId="0" applyFont="1" applyFill="1" applyBorder="1" applyAlignment="1" applyProtection="1">
      <alignment horizontal="left" vertical="center" wrapText="1"/>
    </xf>
    <xf numFmtId="0" fontId="0" fillId="5" borderId="9" xfId="0" applyFill="1" applyBorder="1" applyAlignment="1" applyProtection="1">
      <alignment vertical="top" wrapText="1"/>
    </xf>
    <xf numFmtId="0" fontId="0" fillId="5" borderId="9" xfId="0" applyFill="1" applyBorder="1" applyProtection="1"/>
    <xf numFmtId="0" fontId="0" fillId="5" borderId="9" xfId="0" applyFill="1" applyBorder="1" applyAlignment="1" applyProtection="1">
      <alignment vertical="center"/>
    </xf>
    <xf numFmtId="44" fontId="0" fillId="5" borderId="9" xfId="0" applyNumberFormat="1" applyFill="1" applyBorder="1" applyAlignment="1" applyProtection="1">
      <alignment vertical="center"/>
    </xf>
    <xf numFmtId="0" fontId="0" fillId="5" borderId="10" xfId="0" applyFill="1" applyBorder="1" applyProtection="1"/>
    <xf numFmtId="0" fontId="8" fillId="3" borderId="2" xfId="0" applyFont="1" applyFill="1" applyBorder="1" applyAlignment="1" applyProtection="1">
      <alignment vertical="center"/>
    </xf>
    <xf numFmtId="0" fontId="16" fillId="3" borderId="2" xfId="0" applyFont="1" applyFill="1" applyBorder="1" applyAlignment="1" applyProtection="1">
      <alignment vertical="center" wrapText="1"/>
    </xf>
    <xf numFmtId="0" fontId="8" fillId="3" borderId="0" xfId="0" applyFont="1" applyFill="1" applyBorder="1" applyAlignment="1" applyProtection="1">
      <alignment vertical="center"/>
    </xf>
    <xf numFmtId="0" fontId="0" fillId="3" borderId="0" xfId="0" applyFill="1" applyProtection="1"/>
    <xf numFmtId="0" fontId="16" fillId="3" borderId="0" xfId="0" applyFont="1" applyFill="1" applyBorder="1" applyAlignment="1" applyProtection="1">
      <alignment vertical="center" wrapText="1"/>
    </xf>
    <xf numFmtId="0" fontId="8" fillId="3" borderId="0" xfId="0" applyFont="1" applyFill="1" applyBorder="1" applyAlignment="1" applyProtection="1">
      <alignment horizontal="center" vertical="center"/>
    </xf>
    <xf numFmtId="44" fontId="0" fillId="0" borderId="0" xfId="0" applyNumberFormat="1" applyFill="1" applyProtection="1"/>
    <xf numFmtId="0" fontId="0" fillId="3" borderId="12" xfId="0" applyFill="1" applyBorder="1" applyAlignment="1" applyProtection="1">
      <alignment horizontal="right" vertical="center"/>
    </xf>
    <xf numFmtId="0" fontId="0" fillId="3" borderId="5" xfId="0"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0" fillId="3" borderId="0" xfId="0" applyFill="1" applyBorder="1" applyAlignment="1" applyProtection="1">
      <alignment vertical="top" wrapText="1"/>
    </xf>
    <xf numFmtId="0" fontId="0" fillId="0" borderId="0" xfId="0" quotePrefix="1"/>
    <xf numFmtId="0" fontId="13" fillId="5" borderId="30" xfId="0" applyFont="1" applyFill="1" applyBorder="1" applyAlignment="1" applyProtection="1">
      <alignment vertical="center" wrapText="1"/>
    </xf>
    <xf numFmtId="0" fontId="13" fillId="5" borderId="7" xfId="0" applyFont="1" applyFill="1" applyBorder="1" applyAlignment="1" applyProtection="1">
      <alignment vertical="center" wrapText="1"/>
    </xf>
    <xf numFmtId="0" fontId="18" fillId="3" borderId="0" xfId="0" applyFont="1" applyFill="1" applyBorder="1" applyAlignment="1" applyProtection="1">
      <alignment vertical="top"/>
    </xf>
    <xf numFmtId="0" fontId="2" fillId="0" borderId="4" xfId="0" applyFont="1" applyBorder="1"/>
    <xf numFmtId="0" fontId="0" fillId="0" borderId="4" xfId="0" applyBorder="1" applyAlignment="1">
      <alignment horizontal="right"/>
    </xf>
    <xf numFmtId="0" fontId="0" fillId="0" borderId="6" xfId="0" applyBorder="1"/>
    <xf numFmtId="0" fontId="0" fillId="0" borderId="7" xfId="0" applyBorder="1"/>
    <xf numFmtId="0" fontId="0" fillId="0" borderId="4" xfId="0" applyBorder="1" applyAlignment="1">
      <alignment horizontal="left"/>
    </xf>
    <xf numFmtId="0" fontId="0" fillId="0" borderId="0" xfId="0" applyFill="1" applyBorder="1"/>
    <xf numFmtId="0" fontId="0" fillId="5" borderId="0" xfId="0" applyFill="1" applyBorder="1" applyAlignment="1" applyProtection="1">
      <alignment horizontal="left" vertical="center" wrapText="1"/>
    </xf>
    <xf numFmtId="0" fontId="0" fillId="0" borderId="0" xfId="0" quotePrefix="1" applyFill="1" applyProtection="1"/>
    <xf numFmtId="0" fontId="3" fillId="2" borderId="16" xfId="0" applyFont="1" applyFill="1" applyBorder="1" applyAlignment="1" applyProtection="1">
      <alignment horizontal="center" vertical="center"/>
      <protection locked="0"/>
    </xf>
    <xf numFmtId="164" fontId="0" fillId="5" borderId="16" xfId="0" applyNumberFormat="1" applyFill="1" applyBorder="1" applyAlignment="1" applyProtection="1">
      <alignment horizontal="right" vertical="center"/>
    </xf>
    <xf numFmtId="44" fontId="0" fillId="3" borderId="16" xfId="0" applyNumberFormat="1" applyFill="1" applyBorder="1" applyAlignment="1" applyProtection="1">
      <alignment horizontal="right" vertical="center"/>
    </xf>
    <xf numFmtId="44" fontId="0" fillId="3" borderId="18" xfId="0" applyNumberFormat="1" applyFill="1" applyBorder="1" applyAlignment="1" applyProtection="1">
      <alignment horizontal="right" vertical="center"/>
    </xf>
    <xf numFmtId="44" fontId="0" fillId="5" borderId="16" xfId="0" applyNumberFormat="1" applyFill="1" applyBorder="1" applyAlignment="1" applyProtection="1">
      <alignment horizontal="right" vertical="center"/>
    </xf>
    <xf numFmtId="0" fontId="0" fillId="5" borderId="0" xfId="0" applyFill="1" applyBorder="1" applyAlignment="1" applyProtection="1">
      <alignment horizontal="center"/>
    </xf>
    <xf numFmtId="0" fontId="0" fillId="5" borderId="18" xfId="0" applyFill="1" applyBorder="1" applyAlignment="1" applyProtection="1">
      <alignment horizontal="left" vertical="center"/>
    </xf>
    <xf numFmtId="44" fontId="0" fillId="3" borderId="0" xfId="0" applyNumberFormat="1" applyFill="1" applyBorder="1" applyAlignment="1" applyProtection="1">
      <alignment horizontal="right" vertical="center"/>
    </xf>
    <xf numFmtId="166" fontId="11" fillId="5" borderId="16" xfId="1" applyNumberFormat="1" applyFont="1" applyFill="1" applyBorder="1" applyAlignment="1" applyProtection="1">
      <alignment horizontal="right" vertical="center"/>
    </xf>
    <xf numFmtId="0" fontId="0" fillId="0" borderId="0" xfId="0" applyBorder="1" applyAlignment="1">
      <alignment horizontal="right"/>
    </xf>
    <xf numFmtId="0" fontId="0" fillId="3" borderId="0" xfId="0" applyFill="1" applyBorder="1"/>
    <xf numFmtId="169" fontId="0" fillId="6" borderId="31" xfId="0" applyNumberFormat="1" applyFill="1" applyBorder="1"/>
    <xf numFmtId="169" fontId="0" fillId="6" borderId="32" xfId="0" applyNumberFormat="1" applyFill="1" applyBorder="1"/>
    <xf numFmtId="44" fontId="0" fillId="7" borderId="11" xfId="1" applyFont="1" applyFill="1" applyBorder="1"/>
    <xf numFmtId="44" fontId="0" fillId="7" borderId="38" xfId="1" applyFont="1" applyFill="1" applyBorder="1"/>
    <xf numFmtId="44" fontId="0" fillId="7" borderId="39" xfId="1" applyFont="1" applyFill="1" applyBorder="1"/>
    <xf numFmtId="44" fontId="0" fillId="7" borderId="40" xfId="1" applyFont="1" applyFill="1" applyBorder="1"/>
    <xf numFmtId="44" fontId="0" fillId="7" borderId="41" xfId="1" applyFont="1" applyFill="1" applyBorder="1"/>
    <xf numFmtId="44" fontId="0" fillId="7" borderId="42" xfId="1" applyFont="1" applyFill="1" applyBorder="1"/>
    <xf numFmtId="44" fontId="0" fillId="7" borderId="43" xfId="1" applyFont="1" applyFill="1" applyBorder="1"/>
    <xf numFmtId="44" fontId="0" fillId="7" borderId="44" xfId="1" applyFont="1" applyFill="1" applyBorder="1"/>
    <xf numFmtId="44" fontId="0" fillId="7" borderId="45" xfId="1" applyFont="1" applyFill="1" applyBorder="1"/>
    <xf numFmtId="169" fontId="0" fillId="7" borderId="31" xfId="0" applyNumberFormat="1" applyFill="1" applyBorder="1"/>
    <xf numFmtId="9" fontId="0" fillId="7" borderId="31" xfId="0" applyNumberFormat="1" applyFill="1" applyBorder="1"/>
    <xf numFmtId="0" fontId="0" fillId="8" borderId="31" xfId="0" applyFill="1" applyBorder="1" applyAlignment="1">
      <alignment horizontal="right"/>
    </xf>
    <xf numFmtId="0" fontId="0" fillId="7" borderId="55" xfId="0" applyFill="1" applyBorder="1"/>
    <xf numFmtId="0" fontId="0" fillId="7" borderId="57" xfId="0" applyFill="1" applyBorder="1"/>
    <xf numFmtId="0" fontId="0" fillId="7" borderId="31" xfId="0" applyFill="1" applyBorder="1" applyAlignment="1">
      <alignment horizontal="right"/>
    </xf>
    <xf numFmtId="169" fontId="0" fillId="6" borderId="59" xfId="0" applyNumberFormat="1" applyFill="1" applyBorder="1"/>
    <xf numFmtId="171" fontId="0" fillId="7" borderId="55" xfId="0" applyNumberFormat="1" applyFill="1" applyBorder="1"/>
    <xf numFmtId="171" fontId="0" fillId="7" borderId="56" xfId="0" applyNumberFormat="1" applyFill="1" applyBorder="1"/>
    <xf numFmtId="172" fontId="0" fillId="7" borderId="57" xfId="0" applyNumberFormat="1" applyFill="1" applyBorder="1"/>
    <xf numFmtId="44" fontId="0" fillId="7" borderId="60" xfId="1" applyFont="1" applyFill="1" applyBorder="1"/>
    <xf numFmtId="44" fontId="0" fillId="7" borderId="15" xfId="1" applyFont="1" applyFill="1" applyBorder="1"/>
    <xf numFmtId="44" fontId="0" fillId="7" borderId="61" xfId="1" applyFont="1" applyFill="1" applyBorder="1"/>
    <xf numFmtId="0" fontId="0" fillId="7" borderId="62" xfId="0" applyFill="1" applyBorder="1"/>
    <xf numFmtId="0" fontId="0" fillId="7" borderId="32" xfId="0" applyFill="1" applyBorder="1"/>
    <xf numFmtId="0" fontId="0" fillId="7" borderId="63" xfId="0" applyFill="1" applyBorder="1"/>
    <xf numFmtId="173" fontId="0" fillId="6" borderId="31" xfId="0" applyNumberFormat="1" applyFill="1" applyBorder="1"/>
    <xf numFmtId="173" fontId="0" fillId="7" borderId="55" xfId="0" applyNumberFormat="1" applyFill="1" applyBorder="1"/>
    <xf numFmtId="173" fontId="0" fillId="7" borderId="56" xfId="0" applyNumberFormat="1" applyFill="1" applyBorder="1"/>
    <xf numFmtId="173" fontId="0" fillId="7" borderId="57" xfId="0" applyNumberFormat="1" applyFill="1" applyBorder="1"/>
    <xf numFmtId="173" fontId="0" fillId="7" borderId="31" xfId="0" applyNumberFormat="1" applyFill="1" applyBorder="1" applyAlignment="1">
      <alignment horizontal="right"/>
    </xf>
    <xf numFmtId="0" fontId="0" fillId="8" borderId="31" xfId="0" applyFill="1" applyBorder="1" applyAlignment="1">
      <alignment horizontal="left"/>
    </xf>
    <xf numFmtId="169" fontId="0" fillId="7" borderId="59" xfId="0" applyNumberFormat="1" applyFill="1" applyBorder="1" applyAlignment="1">
      <alignment horizontal="right"/>
    </xf>
    <xf numFmtId="0" fontId="0" fillId="7" borderId="31" xfId="0" applyFill="1" applyBorder="1"/>
    <xf numFmtId="0" fontId="0" fillId="9" borderId="1" xfId="0" applyFill="1" applyBorder="1"/>
    <xf numFmtId="0" fontId="0" fillId="9" borderId="4" xfId="0" applyFill="1" applyBorder="1"/>
    <xf numFmtId="0" fontId="0" fillId="9" borderId="4" xfId="0" applyFill="1" applyBorder="1" applyAlignment="1">
      <alignment horizontal="right"/>
    </xf>
    <xf numFmtId="0" fontId="0" fillId="9" borderId="6" xfId="0" applyFill="1" applyBorder="1"/>
    <xf numFmtId="0" fontId="0" fillId="10" borderId="34" xfId="0" applyFill="1" applyBorder="1"/>
    <xf numFmtId="0" fontId="0" fillId="10" borderId="35" xfId="0" applyFill="1" applyBorder="1"/>
    <xf numFmtId="44" fontId="0" fillId="7" borderId="51" xfId="0" applyNumberFormat="1" applyFill="1" applyBorder="1"/>
    <xf numFmtId="44" fontId="0" fillId="7" borderId="58" xfId="0" applyNumberFormat="1" applyFill="1" applyBorder="1"/>
    <xf numFmtId="44" fontId="0" fillId="7" borderId="52" xfId="0" applyNumberFormat="1" applyFill="1" applyBorder="1"/>
    <xf numFmtId="44" fontId="0" fillId="7" borderId="38" xfId="0" applyNumberFormat="1" applyFill="1" applyBorder="1"/>
    <xf numFmtId="44" fontId="0" fillId="7" borderId="11" xfId="0" applyNumberFormat="1" applyFill="1" applyBorder="1"/>
    <xf numFmtId="44" fontId="0" fillId="7" borderId="39" xfId="0" applyNumberFormat="1" applyFill="1" applyBorder="1"/>
    <xf numFmtId="44" fontId="0" fillId="7" borderId="40" xfId="0" applyNumberFormat="1" applyFill="1" applyBorder="1"/>
    <xf numFmtId="44" fontId="0" fillId="7" borderId="41" xfId="0" applyNumberFormat="1" applyFill="1" applyBorder="1"/>
    <xf numFmtId="44" fontId="0" fillId="7" borderId="42" xfId="0" applyNumberFormat="1" applyFill="1" applyBorder="1"/>
    <xf numFmtId="0" fontId="0" fillId="7" borderId="73" xfId="0" applyFill="1" applyBorder="1"/>
    <xf numFmtId="44" fontId="0" fillId="7" borderId="31" xfId="1" applyFont="1" applyFill="1" applyBorder="1"/>
    <xf numFmtId="0" fontId="0" fillId="7" borderId="58" xfId="0" applyFill="1" applyBorder="1"/>
    <xf numFmtId="0" fontId="0" fillId="7" borderId="52" xfId="0" applyFill="1" applyBorder="1"/>
    <xf numFmtId="44" fontId="0" fillId="7" borderId="31" xfId="0" applyNumberFormat="1" applyFill="1" applyBorder="1"/>
    <xf numFmtId="173" fontId="0" fillId="7" borderId="31" xfId="0" applyNumberFormat="1" applyFill="1" applyBorder="1"/>
    <xf numFmtId="173" fontId="0" fillId="7" borderId="73" xfId="0" applyNumberFormat="1" applyFill="1" applyBorder="1"/>
    <xf numFmtId="173" fontId="0" fillId="7" borderId="60" xfId="0" applyNumberFormat="1" applyFill="1" applyBorder="1"/>
    <xf numFmtId="173" fontId="0" fillId="7" borderId="15" xfId="0" applyNumberFormat="1" applyFill="1" applyBorder="1"/>
    <xf numFmtId="173" fontId="0" fillId="7" borderId="61" xfId="0" applyNumberFormat="1" applyFill="1" applyBorder="1"/>
    <xf numFmtId="173" fontId="0" fillId="7" borderId="38" xfId="0" applyNumberFormat="1" applyFill="1" applyBorder="1"/>
    <xf numFmtId="173" fontId="0" fillId="7" borderId="11" xfId="0" applyNumberFormat="1" applyFill="1" applyBorder="1"/>
    <xf numFmtId="173" fontId="0" fillId="7" borderId="39" xfId="0" applyNumberFormat="1" applyFill="1" applyBorder="1"/>
    <xf numFmtId="173" fontId="0" fillId="7" borderId="40" xfId="0" applyNumberFormat="1" applyFill="1" applyBorder="1"/>
    <xf numFmtId="173" fontId="0" fillId="7" borderId="41" xfId="0" applyNumberFormat="1" applyFill="1" applyBorder="1"/>
    <xf numFmtId="173" fontId="0" fillId="7" borderId="42" xfId="0" applyNumberFormat="1" applyFill="1" applyBorder="1"/>
    <xf numFmtId="173" fontId="0" fillId="6" borderId="15" xfId="0" applyNumberFormat="1" applyFill="1" applyBorder="1"/>
    <xf numFmtId="173" fontId="0" fillId="6" borderId="11" xfId="0" applyNumberFormat="1" applyFill="1" applyBorder="1"/>
    <xf numFmtId="174" fontId="0" fillId="7" borderId="57" xfId="0" applyNumberFormat="1" applyFill="1" applyBorder="1"/>
    <xf numFmtId="166" fontId="0" fillId="7" borderId="56" xfId="1" applyNumberFormat="1" applyFont="1" applyFill="1" applyBorder="1"/>
    <xf numFmtId="166" fontId="0" fillId="7" borderId="57" xfId="1" applyNumberFormat="1" applyFont="1" applyFill="1" applyBorder="1"/>
    <xf numFmtId="166" fontId="0" fillId="6" borderId="74" xfId="1" applyNumberFormat="1" applyFont="1" applyFill="1" applyBorder="1"/>
    <xf numFmtId="166" fontId="0" fillId="6" borderId="75" xfId="1" applyNumberFormat="1" applyFont="1" applyFill="1" applyBorder="1"/>
    <xf numFmtId="166" fontId="0" fillId="7" borderId="76" xfId="1" applyNumberFormat="1" applyFont="1" applyFill="1" applyBorder="1"/>
    <xf numFmtId="166" fontId="0" fillId="7" borderId="77" xfId="1" applyNumberFormat="1" applyFont="1" applyFill="1" applyBorder="1"/>
    <xf numFmtId="166" fontId="0" fillId="7" borderId="78" xfId="1" applyNumberFormat="1" applyFont="1" applyFill="1" applyBorder="1"/>
    <xf numFmtId="0" fontId="0" fillId="6" borderId="52" xfId="0" applyFill="1" applyBorder="1"/>
    <xf numFmtId="0" fontId="0" fillId="6" borderId="79" xfId="0" applyFill="1" applyBorder="1"/>
    <xf numFmtId="0" fontId="0" fillId="6" borderId="80" xfId="0" applyFill="1" applyBorder="1"/>
    <xf numFmtId="0" fontId="0" fillId="6" borderId="53" xfId="0" applyFill="1" applyBorder="1"/>
    <xf numFmtId="0" fontId="0" fillId="7" borderId="81" xfId="0" applyFill="1" applyBorder="1"/>
    <xf numFmtId="0" fontId="0" fillId="7" borderId="76" xfId="0" applyFill="1" applyBorder="1"/>
    <xf numFmtId="0" fontId="0" fillId="7" borderId="78" xfId="0" applyFill="1" applyBorder="1"/>
    <xf numFmtId="0" fontId="0" fillId="7" borderId="82" xfId="0" applyFill="1" applyBorder="1"/>
    <xf numFmtId="0" fontId="0" fillId="7" borderId="83" xfId="0" applyFill="1" applyBorder="1"/>
    <xf numFmtId="173" fontId="0" fillId="7" borderId="83" xfId="0" applyNumberFormat="1" applyFill="1" applyBorder="1"/>
    <xf numFmtId="0" fontId="0" fillId="10" borderId="46" xfId="0" applyFill="1" applyBorder="1" applyAlignment="1">
      <alignment horizontal="center"/>
    </xf>
    <xf numFmtId="0" fontId="0" fillId="10" borderId="47" xfId="0" applyFill="1" applyBorder="1" applyAlignment="1">
      <alignment horizontal="center"/>
    </xf>
    <xf numFmtId="0" fontId="0" fillId="10" borderId="48" xfId="0" applyFill="1" applyBorder="1" applyAlignment="1">
      <alignment horizontal="center"/>
    </xf>
    <xf numFmtId="0" fontId="0" fillId="10" borderId="49" xfId="0" applyFill="1" applyBorder="1" applyAlignment="1">
      <alignment horizontal="center"/>
    </xf>
    <xf numFmtId="0" fontId="0" fillId="10" borderId="50" xfId="0" applyFill="1" applyBorder="1" applyAlignment="1">
      <alignment horizontal="center"/>
    </xf>
    <xf numFmtId="0" fontId="0" fillId="10" borderId="51" xfId="0" applyFill="1" applyBorder="1"/>
    <xf numFmtId="0" fontId="0" fillId="10" borderId="58" xfId="0" applyFill="1" applyBorder="1"/>
    <xf numFmtId="0" fontId="0" fillId="10" borderId="52" xfId="0" applyFill="1" applyBorder="1"/>
    <xf numFmtId="0" fontId="0" fillId="10" borderId="46" xfId="0" applyFill="1" applyBorder="1"/>
    <xf numFmtId="0" fontId="0" fillId="10" borderId="47" xfId="0" applyFill="1" applyBorder="1"/>
    <xf numFmtId="0" fontId="0" fillId="10" borderId="48" xfId="0" applyFill="1" applyBorder="1"/>
    <xf numFmtId="0" fontId="0" fillId="10" borderId="33" xfId="0" applyFill="1" applyBorder="1"/>
    <xf numFmtId="0" fontId="0" fillId="3" borderId="34" xfId="0" applyFill="1" applyBorder="1"/>
    <xf numFmtId="0" fontId="0" fillId="3" borderId="70" xfId="0" applyFill="1" applyBorder="1"/>
    <xf numFmtId="0" fontId="0" fillId="3" borderId="72" xfId="0" applyFill="1" applyBorder="1"/>
    <xf numFmtId="0" fontId="0" fillId="3" borderId="35" xfId="0" applyFill="1" applyBorder="1"/>
    <xf numFmtId="0" fontId="0" fillId="3" borderId="37" xfId="0" applyFill="1" applyBorder="1"/>
    <xf numFmtId="0" fontId="0" fillId="9" borderId="68" xfId="0" applyFill="1" applyBorder="1"/>
    <xf numFmtId="0" fontId="2" fillId="9" borderId="36" xfId="0" applyFont="1" applyFill="1" applyBorder="1"/>
    <xf numFmtId="0" fontId="0" fillId="9" borderId="36" xfId="0" applyFill="1" applyBorder="1"/>
    <xf numFmtId="0" fontId="0" fillId="9" borderId="36" xfId="0" applyFill="1" applyBorder="1" applyAlignment="1">
      <alignment horizontal="right"/>
    </xf>
    <xf numFmtId="0" fontId="0" fillId="9" borderId="5" xfId="0" applyFill="1" applyBorder="1"/>
    <xf numFmtId="0" fontId="0" fillId="9" borderId="3" xfId="0" applyFill="1" applyBorder="1"/>
    <xf numFmtId="0" fontId="0" fillId="9" borderId="2" xfId="0" applyFill="1" applyBorder="1"/>
    <xf numFmtId="0" fontId="0" fillId="9" borderId="0" xfId="0" applyFill="1" applyBorder="1" applyAlignment="1">
      <alignment horizontal="right"/>
    </xf>
    <xf numFmtId="0" fontId="0" fillId="9" borderId="0" xfId="0" applyFill="1" applyBorder="1"/>
    <xf numFmtId="0" fontId="0" fillId="9" borderId="7" xfId="0" applyFill="1" applyBorder="1"/>
    <xf numFmtId="0" fontId="0" fillId="10" borderId="53" xfId="0" applyFill="1" applyBorder="1" applyAlignment="1">
      <alignment horizontal="center"/>
    </xf>
    <xf numFmtId="0" fontId="0" fillId="10" borderId="54" xfId="0" applyFill="1" applyBorder="1" applyAlignment="1">
      <alignment horizontal="center"/>
    </xf>
    <xf numFmtId="0" fontId="0" fillId="9" borderId="8" xfId="0" applyFill="1" applyBorder="1"/>
    <xf numFmtId="0" fontId="0" fillId="9" borderId="4" xfId="0" applyFill="1" applyBorder="1" applyAlignment="1">
      <alignment horizontal="left"/>
    </xf>
    <xf numFmtId="0" fontId="0" fillId="9" borderId="69" xfId="0" applyFill="1" applyBorder="1"/>
    <xf numFmtId="0" fontId="0" fillId="9" borderId="70" xfId="0" applyFill="1" applyBorder="1"/>
    <xf numFmtId="0" fontId="0" fillId="9" borderId="71" xfId="0" applyFill="1" applyBorder="1"/>
    <xf numFmtId="0" fontId="2" fillId="3" borderId="33" xfId="0" applyFont="1" applyFill="1" applyBorder="1" applyAlignment="1">
      <alignment horizontal="left"/>
    </xf>
    <xf numFmtId="0" fontId="0" fillId="3" borderId="2" xfId="0" applyFill="1" applyBorder="1" applyAlignment="1" applyProtection="1">
      <alignment vertical="center" wrapText="1"/>
    </xf>
    <xf numFmtId="166" fontId="11" fillId="0" borderId="16" xfId="1" applyNumberFormat="1" applyFont="1" applyFill="1" applyBorder="1" applyAlignment="1" applyProtection="1">
      <alignment horizontal="right" vertical="center"/>
      <protection locked="0"/>
    </xf>
    <xf numFmtId="164" fontId="0" fillId="3" borderId="0" xfId="0" applyNumberFormat="1" applyFill="1" applyBorder="1" applyAlignment="1" applyProtection="1">
      <alignment horizontal="right" vertical="center"/>
    </xf>
    <xf numFmtId="0" fontId="0" fillId="3" borderId="0" xfId="0" applyFill="1" applyBorder="1" applyAlignment="1" applyProtection="1"/>
    <xf numFmtId="0" fontId="0" fillId="5" borderId="0" xfId="0" applyFill="1" applyBorder="1" applyAlignment="1" applyProtection="1">
      <alignment horizontal="left" vertical="top" wrapText="1"/>
    </xf>
    <xf numFmtId="0" fontId="2" fillId="0" borderId="0" xfId="0" applyFont="1"/>
    <xf numFmtId="44" fontId="0" fillId="0" borderId="0" xfId="1" applyFont="1"/>
    <xf numFmtId="0" fontId="0" fillId="0" borderId="0" xfId="0" applyAlignment="1">
      <alignment horizontal="right"/>
    </xf>
    <xf numFmtId="0" fontId="0" fillId="0" borderId="0" xfId="0" applyFill="1" applyBorder="1" applyAlignment="1">
      <alignment horizontal="right"/>
    </xf>
    <xf numFmtId="0" fontId="0" fillId="0" borderId="0" xfId="0" applyFont="1"/>
    <xf numFmtId="0" fontId="0" fillId="0" borderId="0" xfId="0" quotePrefix="1"/>
    <xf numFmtId="0" fontId="21" fillId="0" borderId="0" xfId="0" applyFont="1"/>
    <xf numFmtId="0" fontId="0" fillId="0" borderId="0" xfId="0"/>
    <xf numFmtId="0" fontId="0" fillId="0" borderId="0" xfId="0" applyFill="1" applyProtection="1"/>
    <xf numFmtId="0" fontId="0" fillId="5" borderId="1" xfId="0" applyFill="1" applyBorder="1" applyProtection="1"/>
    <xf numFmtId="0" fontId="5" fillId="5" borderId="2" xfId="0" applyFont="1" applyFill="1" applyBorder="1" applyProtection="1"/>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44" fontId="0" fillId="5" borderId="0" xfId="0" applyNumberFormat="1" applyFill="1" applyBorder="1" applyAlignment="1" applyProtection="1">
      <alignment vertical="center"/>
    </xf>
    <xf numFmtId="0" fontId="0" fillId="5" borderId="5"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xf numFmtId="0" fontId="0" fillId="5" borderId="0" xfId="0" applyFill="1" applyProtection="1"/>
    <xf numFmtId="0" fontId="0" fillId="5" borderId="0" xfId="0" applyFill="1" applyBorder="1" applyAlignment="1" applyProtection="1">
      <alignment vertical="center"/>
    </xf>
    <xf numFmtId="0" fontId="0" fillId="5" borderId="0" xfId="0" applyFill="1" applyAlignment="1" applyProtection="1">
      <alignment horizontal="right" vertical="center"/>
    </xf>
    <xf numFmtId="44" fontId="0" fillId="5" borderId="16" xfId="0" applyNumberFormat="1" applyFill="1" applyBorder="1" applyAlignment="1" applyProtection="1">
      <alignment vertical="center"/>
    </xf>
    <xf numFmtId="168" fontId="0" fillId="5" borderId="0" xfId="0" applyNumberFormat="1" applyFill="1" applyBorder="1" applyAlignment="1" applyProtection="1"/>
    <xf numFmtId="0" fontId="0" fillId="5" borderId="0" xfId="0" applyFill="1" applyAlignment="1" applyProtection="1">
      <alignment vertical="center"/>
    </xf>
    <xf numFmtId="0" fontId="0" fillId="3" borderId="1" xfId="0" applyFill="1" applyBorder="1" applyProtection="1"/>
    <xf numFmtId="0" fontId="5" fillId="3" borderId="2" xfId="0" applyFont="1" applyFill="1" applyBorder="1" applyProtection="1"/>
    <xf numFmtId="0" fontId="0" fillId="3" borderId="2" xfId="0" applyFill="1" applyBorder="1" applyProtection="1"/>
    <xf numFmtId="0" fontId="0" fillId="3" borderId="2" xfId="0" applyFill="1" applyBorder="1" applyAlignment="1" applyProtection="1">
      <alignment vertical="center"/>
    </xf>
    <xf numFmtId="0" fontId="0" fillId="3" borderId="3" xfId="0" applyFill="1" applyBorder="1" applyProtection="1"/>
    <xf numFmtId="0" fontId="0" fillId="3" borderId="4" xfId="0" applyFill="1" applyBorder="1" applyProtection="1"/>
    <xf numFmtId="0" fontId="5" fillId="3" borderId="0" xfId="0" applyFont="1" applyFill="1" applyBorder="1" applyProtection="1"/>
    <xf numFmtId="0" fontId="0" fillId="3" borderId="13" xfId="0" applyFill="1" applyBorder="1" applyProtection="1"/>
    <xf numFmtId="0" fontId="0" fillId="3" borderId="0" xfId="0" applyFill="1" applyBorder="1" applyProtection="1"/>
    <xf numFmtId="0" fontId="0" fillId="3" borderId="0" xfId="0" applyFill="1" applyBorder="1" applyAlignment="1" applyProtection="1">
      <alignment vertical="center"/>
    </xf>
    <xf numFmtId="0" fontId="0" fillId="3" borderId="5" xfId="0" applyFill="1" applyBorder="1" applyProtection="1"/>
    <xf numFmtId="0" fontId="3" fillId="3" borderId="0" xfId="0" applyFont="1" applyFill="1" applyBorder="1" applyProtection="1"/>
    <xf numFmtId="0" fontId="11" fillId="3"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0" fillId="3" borderId="0" xfId="0" applyFill="1" applyBorder="1" applyAlignment="1" applyProtection="1">
      <alignment horizontal="left"/>
    </xf>
    <xf numFmtId="0" fontId="0" fillId="3" borderId="0" xfId="0" applyFill="1" applyBorder="1" applyAlignment="1" applyProtection="1">
      <alignment horizontal="right" vertical="center"/>
    </xf>
    <xf numFmtId="44" fontId="0" fillId="3" borderId="16" xfId="0" applyNumberFormat="1" applyFill="1" applyBorder="1" applyAlignment="1" applyProtection="1">
      <alignment vertical="center"/>
    </xf>
    <xf numFmtId="44" fontId="0" fillId="3" borderId="18" xfId="0" applyNumberFormat="1" applyFill="1" applyBorder="1" applyAlignment="1" applyProtection="1">
      <alignment vertical="center"/>
    </xf>
    <xf numFmtId="0" fontId="0" fillId="3" borderId="6" xfId="0" applyFill="1" applyBorder="1" applyProtection="1"/>
    <xf numFmtId="0" fontId="0" fillId="3" borderId="7" xfId="0" applyFill="1" applyBorder="1" applyProtection="1"/>
    <xf numFmtId="0" fontId="0" fillId="3" borderId="7" xfId="0" applyFill="1" applyBorder="1" applyAlignment="1" applyProtection="1">
      <alignment vertical="center"/>
    </xf>
    <xf numFmtId="0" fontId="0" fillId="3" borderId="8" xfId="0" applyFill="1" applyBorder="1" applyProtection="1"/>
    <xf numFmtId="0" fontId="0" fillId="5" borderId="2" xfId="0" applyFill="1" applyBorder="1" applyAlignment="1" applyProtection="1">
      <alignment vertical="center"/>
    </xf>
    <xf numFmtId="0" fontId="5" fillId="5" borderId="0" xfId="0" applyFont="1" applyFill="1" applyBorder="1" applyProtection="1"/>
    <xf numFmtId="0" fontId="9" fillId="5" borderId="0" xfId="0" applyFont="1" applyFill="1" applyBorder="1" applyProtection="1"/>
    <xf numFmtId="0" fontId="0" fillId="5" borderId="0" xfId="0" applyFill="1" applyBorder="1" applyAlignment="1" applyProtection="1">
      <alignment horizontal="left"/>
    </xf>
    <xf numFmtId="164" fontId="0" fillId="5" borderId="0" xfId="0" applyNumberFormat="1" applyFill="1" applyBorder="1" applyAlignment="1" applyProtection="1"/>
    <xf numFmtId="0" fontId="0" fillId="5" borderId="0" xfId="0" applyFill="1" applyBorder="1" applyAlignment="1" applyProtection="1">
      <alignment wrapText="1"/>
    </xf>
    <xf numFmtId="0" fontId="0" fillId="5" borderId="6" xfId="0" applyFill="1" applyBorder="1" applyProtection="1"/>
    <xf numFmtId="0" fontId="0" fillId="5" borderId="7" xfId="0" applyFill="1" applyBorder="1" applyProtection="1"/>
    <xf numFmtId="0" fontId="0" fillId="5" borderId="7" xfId="0" applyFill="1" applyBorder="1" applyAlignment="1" applyProtection="1">
      <alignment vertical="center"/>
    </xf>
    <xf numFmtId="0" fontId="0" fillId="5" borderId="8" xfId="0" applyFill="1" applyBorder="1" applyProtection="1"/>
    <xf numFmtId="0" fontId="6" fillId="3" borderId="2" xfId="0" applyFont="1" applyFill="1" applyBorder="1" applyProtection="1"/>
    <xf numFmtId="0" fontId="6" fillId="3" borderId="0" xfId="0" applyFont="1" applyFill="1" applyBorder="1" applyProtection="1"/>
    <xf numFmtId="0" fontId="0" fillId="3" borderId="0" xfId="0" applyFill="1" applyBorder="1" applyAlignment="1" applyProtection="1">
      <alignment vertical="top"/>
    </xf>
    <xf numFmtId="0" fontId="0" fillId="3" borderId="0" xfId="0" applyFill="1" applyBorder="1" applyAlignment="1" applyProtection="1">
      <alignment vertical="center" wrapText="1"/>
    </xf>
    <xf numFmtId="0" fontId="12" fillId="3" borderId="0" xfId="0" applyFont="1" applyFill="1" applyBorder="1" applyAlignment="1" applyProtection="1">
      <alignment horizontal="left" vertical="center" wrapText="1"/>
    </xf>
    <xf numFmtId="164" fontId="0" fillId="3" borderId="0" xfId="0" applyNumberFormat="1" applyFill="1" applyBorder="1" applyAlignment="1" applyProtection="1">
      <alignment vertical="center"/>
    </xf>
    <xf numFmtId="0" fontId="12" fillId="5" borderId="2" xfId="0" applyFont="1" applyFill="1" applyBorder="1" applyAlignment="1" applyProtection="1">
      <alignment horizontal="left" vertical="top" wrapText="1"/>
    </xf>
    <xf numFmtId="0" fontId="0" fillId="4" borderId="0" xfId="0" applyFill="1" applyProtection="1"/>
    <xf numFmtId="0" fontId="12" fillId="5" borderId="0" xfId="0" applyFont="1" applyFill="1" applyBorder="1" applyAlignment="1" applyProtection="1">
      <alignment vertical="top"/>
    </xf>
    <xf numFmtId="0" fontId="17" fillId="5" borderId="0" xfId="0" applyFont="1" applyFill="1" applyBorder="1" applyAlignment="1" applyProtection="1">
      <alignment vertical="top" wrapText="1"/>
    </xf>
    <xf numFmtId="0" fontId="0" fillId="5" borderId="0" xfId="0" applyFill="1" applyBorder="1" applyAlignment="1" applyProtection="1">
      <alignment vertical="top"/>
    </xf>
    <xf numFmtId="0" fontId="0" fillId="5" borderId="0" xfId="0" applyFill="1" applyBorder="1" applyAlignment="1" applyProtection="1">
      <alignment horizontal="center" wrapText="1"/>
    </xf>
    <xf numFmtId="0" fontId="0" fillId="5" borderId="0" xfId="0" applyFill="1" applyBorder="1" applyAlignment="1" applyProtection="1">
      <alignment horizontal="right" vertical="center"/>
    </xf>
    <xf numFmtId="164" fontId="0" fillId="5" borderId="0" xfId="0" applyNumberFormat="1" applyFill="1" applyBorder="1" applyAlignment="1" applyProtection="1">
      <alignment horizontal="right" vertical="center"/>
    </xf>
    <xf numFmtId="166" fontId="0" fillId="5" borderId="0" xfId="0" applyNumberFormat="1" applyFill="1" applyBorder="1" applyAlignment="1" applyProtection="1">
      <alignment vertical="center"/>
    </xf>
    <xf numFmtId="164" fontId="0" fillId="5" borderId="0" xfId="0" applyNumberFormat="1" applyFill="1" applyBorder="1" applyAlignment="1" applyProtection="1">
      <alignment vertical="center"/>
    </xf>
    <xf numFmtId="0" fontId="0" fillId="4" borderId="0" xfId="0" applyFill="1" applyBorder="1" applyProtection="1"/>
    <xf numFmtId="0" fontId="10" fillId="5" borderId="0" xfId="0" applyFont="1" applyFill="1" applyBorder="1" applyProtection="1"/>
    <xf numFmtId="0" fontId="7" fillId="5" borderId="0" xfId="0" applyFont="1" applyFill="1" applyBorder="1" applyAlignment="1" applyProtection="1">
      <alignment vertical="top"/>
    </xf>
    <xf numFmtId="0" fontId="0" fillId="5" borderId="7" xfId="0" applyFill="1" applyBorder="1" applyAlignment="1" applyProtection="1">
      <alignment horizontal="right" vertical="center"/>
    </xf>
    <xf numFmtId="0" fontId="6" fillId="3" borderId="0" xfId="0" applyFont="1" applyFill="1" applyBorder="1" applyAlignment="1" applyProtection="1">
      <alignment vertical="top"/>
    </xf>
    <xf numFmtId="0" fontId="17" fillId="3" borderId="0" xfId="0" applyFont="1" applyFill="1" applyBorder="1" applyAlignment="1" applyProtection="1">
      <alignment vertical="top"/>
    </xf>
    <xf numFmtId="166" fontId="0" fillId="5" borderId="0" xfId="1" applyNumberFormat="1" applyFont="1" applyFill="1" applyBorder="1" applyAlignment="1" applyProtection="1">
      <alignment vertical="center"/>
    </xf>
    <xf numFmtId="0" fontId="0" fillId="5" borderId="0" xfId="0" applyFill="1" applyBorder="1" applyAlignment="1" applyProtection="1">
      <alignment horizontal="left" wrapText="1"/>
    </xf>
    <xf numFmtId="0" fontId="0" fillId="5" borderId="0" xfId="0" applyFill="1" applyBorder="1" applyAlignment="1" applyProtection="1">
      <alignment vertical="center" wrapText="1"/>
    </xf>
    <xf numFmtId="0" fontId="11" fillId="5" borderId="0" xfId="0" applyFont="1" applyFill="1" applyBorder="1" applyAlignment="1" applyProtection="1">
      <alignment vertical="center"/>
    </xf>
    <xf numFmtId="0" fontId="0" fillId="5" borderId="0" xfId="0" applyFill="1" applyBorder="1" applyAlignment="1" applyProtection="1">
      <alignment vertical="top" wrapText="1"/>
    </xf>
    <xf numFmtId="0" fontId="0" fillId="5" borderId="0" xfId="0"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0" fillId="5" borderId="27" xfId="0" applyFill="1" applyBorder="1" applyProtection="1"/>
    <xf numFmtId="0" fontId="12" fillId="5" borderId="28" xfId="0" applyFont="1" applyFill="1" applyBorder="1" applyAlignment="1" applyProtection="1">
      <alignment horizontal="left" vertical="top" wrapText="1"/>
    </xf>
    <xf numFmtId="0" fontId="0" fillId="5" borderId="28" xfId="0" applyFill="1" applyBorder="1" applyProtection="1"/>
    <xf numFmtId="0" fontId="0" fillId="5" borderId="28" xfId="0" applyFill="1" applyBorder="1" applyAlignment="1" applyProtection="1">
      <alignment vertical="center"/>
    </xf>
    <xf numFmtId="0" fontId="0" fillId="5" borderId="29" xfId="0" applyFill="1" applyBorder="1" applyProtection="1"/>
    <xf numFmtId="0" fontId="13" fillId="5" borderId="9" xfId="0" applyFont="1" applyFill="1" applyBorder="1" applyAlignment="1" applyProtection="1">
      <alignment horizontal="left" vertical="center" wrapText="1"/>
    </xf>
    <xf numFmtId="0" fontId="0" fillId="5" borderId="9" xfId="0" applyFill="1" applyBorder="1" applyAlignment="1" applyProtection="1">
      <alignment vertical="top" wrapText="1"/>
    </xf>
    <xf numFmtId="0" fontId="0" fillId="5" borderId="9" xfId="0" applyFill="1" applyBorder="1" applyProtection="1"/>
    <xf numFmtId="0" fontId="0" fillId="5" borderId="9" xfId="0" applyFill="1" applyBorder="1" applyAlignment="1" applyProtection="1">
      <alignment vertical="center"/>
    </xf>
    <xf numFmtId="44" fontId="0" fillId="5" borderId="9" xfId="0" applyNumberFormat="1" applyFill="1" applyBorder="1" applyAlignment="1" applyProtection="1">
      <alignment vertical="center"/>
    </xf>
    <xf numFmtId="0" fontId="0" fillId="5" borderId="10" xfId="0" applyFill="1" applyBorder="1" applyProtection="1"/>
    <xf numFmtId="0" fontId="8" fillId="3" borderId="2" xfId="0" applyFont="1" applyFill="1" applyBorder="1" applyAlignment="1" applyProtection="1">
      <alignment vertical="center"/>
    </xf>
    <xf numFmtId="0" fontId="8" fillId="3" borderId="0" xfId="0" applyFont="1" applyFill="1" applyBorder="1" applyAlignment="1" applyProtection="1">
      <alignment vertical="center"/>
    </xf>
    <xf numFmtId="0" fontId="0" fillId="3" borderId="0" xfId="0" applyFill="1" applyProtection="1"/>
    <xf numFmtId="0" fontId="8" fillId="3" borderId="0" xfId="0" applyFont="1" applyFill="1" applyBorder="1" applyAlignment="1" applyProtection="1">
      <alignment horizontal="center" vertical="center"/>
    </xf>
    <xf numFmtId="44" fontId="0" fillId="0" borderId="0" xfId="0" applyNumberFormat="1" applyFill="1" applyProtection="1"/>
    <xf numFmtId="0" fontId="0" fillId="3" borderId="5" xfId="0" applyFill="1" applyBorder="1" applyAlignment="1" applyProtection="1">
      <alignment horizontal="center" vertical="center"/>
    </xf>
    <xf numFmtId="0" fontId="0" fillId="3" borderId="0" xfId="0" applyFill="1" applyBorder="1" applyAlignment="1" applyProtection="1">
      <alignment vertical="top" wrapText="1"/>
    </xf>
    <xf numFmtId="0" fontId="13" fillId="5" borderId="30" xfId="0" applyFont="1" applyFill="1" applyBorder="1" applyAlignment="1" applyProtection="1">
      <alignment vertical="center" wrapText="1"/>
    </xf>
    <xf numFmtId="0" fontId="13" fillId="5" borderId="7" xfId="0" applyFont="1" applyFill="1" applyBorder="1" applyAlignment="1" applyProtection="1">
      <alignment vertical="center" wrapText="1"/>
    </xf>
    <xf numFmtId="0" fontId="0" fillId="5" borderId="0" xfId="0" applyFill="1" applyAlignment="1">
      <alignment horizontal="right" vertical="center"/>
    </xf>
    <xf numFmtId="0" fontId="5" fillId="3" borderId="2" xfId="0" applyFont="1" applyFill="1" applyBorder="1"/>
    <xf numFmtId="0" fontId="0" fillId="3" borderId="0" xfId="0" applyFill="1" applyBorder="1" applyAlignment="1">
      <alignment vertical="center"/>
    </xf>
    <xf numFmtId="0" fontId="5" fillId="5" borderId="0" xfId="0" applyFont="1" applyFill="1" applyBorder="1"/>
    <xf numFmtId="0" fontId="12" fillId="5" borderId="0" xfId="0" applyFont="1" applyFill="1" applyBorder="1" applyAlignment="1">
      <alignment vertical="top"/>
    </xf>
    <xf numFmtId="0" fontId="5" fillId="3" borderId="0" xfId="0" applyFont="1" applyFill="1" applyBorder="1"/>
    <xf numFmtId="0" fontId="3" fillId="5" borderId="0" xfId="0" applyFont="1" applyFill="1" applyBorder="1"/>
    <xf numFmtId="0" fontId="0" fillId="5" borderId="18" xfId="0" applyFill="1" applyBorder="1" applyAlignment="1" applyProtection="1">
      <alignment horizontal="left" vertical="center" wrapText="1"/>
    </xf>
    <xf numFmtId="0" fontId="0" fillId="5" borderId="19" xfId="0" applyFill="1" applyBorder="1" applyAlignment="1" applyProtection="1">
      <alignment horizontal="left" vertical="center" wrapText="1"/>
    </xf>
    <xf numFmtId="0" fontId="0" fillId="5" borderId="0" xfId="0" applyFill="1" applyBorder="1" applyAlignment="1">
      <alignment horizontal="right" vertical="center"/>
    </xf>
    <xf numFmtId="0" fontId="0" fillId="3" borderId="0" xfId="0" applyFill="1" applyBorder="1" applyAlignment="1">
      <alignment horizontal="right" vertical="center"/>
    </xf>
    <xf numFmtId="0" fontId="0" fillId="3" borderId="12" xfId="0" applyFill="1" applyBorder="1" applyAlignment="1">
      <alignment horizontal="right" vertical="center"/>
    </xf>
    <xf numFmtId="0" fontId="15" fillId="3" borderId="0" xfId="0" applyFont="1" applyFill="1" applyBorder="1" applyAlignment="1">
      <alignment horizontal="right" vertical="center"/>
    </xf>
    <xf numFmtId="0" fontId="2" fillId="3" borderId="0" xfId="0" applyFont="1" applyFill="1" applyBorder="1" applyAlignment="1">
      <alignment horizontal="right" vertical="center"/>
    </xf>
    <xf numFmtId="0" fontId="18" fillId="3" borderId="0" xfId="0" applyFont="1" applyFill="1" applyBorder="1" applyAlignment="1" applyProtection="1">
      <alignment vertical="top"/>
    </xf>
    <xf numFmtId="0" fontId="3" fillId="3" borderId="0" xfId="0" applyFont="1" applyFill="1" applyBorder="1" applyAlignment="1" applyProtection="1">
      <alignment horizontal="center" vertical="center"/>
    </xf>
    <xf numFmtId="0" fontId="3" fillId="2" borderId="16"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0" fillId="5" borderId="0" xfId="0" applyFill="1" applyAlignment="1" applyProtection="1">
      <alignment horizontal="center" vertical="center"/>
    </xf>
    <xf numFmtId="0" fontId="0" fillId="3" borderId="0" xfId="0" applyFill="1" applyBorder="1" applyAlignment="1" applyProtection="1">
      <alignment horizontal="center" vertical="center"/>
    </xf>
    <xf numFmtId="0" fontId="0" fillId="4" borderId="0" xfId="0" applyFill="1" applyAlignment="1" applyProtection="1">
      <alignment horizontal="center" vertical="center"/>
    </xf>
    <xf numFmtId="0" fontId="0" fillId="5" borderId="16" xfId="0" applyFill="1" applyBorder="1" applyAlignment="1" applyProtection="1">
      <alignment horizontal="left" vertical="center" wrapText="1"/>
    </xf>
    <xf numFmtId="166" fontId="11" fillId="5" borderId="16" xfId="1" applyNumberFormat="1" applyFont="1" applyFill="1" applyBorder="1" applyAlignment="1" applyProtection="1">
      <alignment horizontal="left" vertical="center"/>
    </xf>
    <xf numFmtId="166" fontId="11" fillId="2" borderId="16" xfId="1" applyNumberFormat="1" applyFont="1" applyFill="1" applyBorder="1" applyAlignment="1" applyProtection="1">
      <alignment horizontal="left" vertical="center"/>
      <protection locked="0"/>
    </xf>
    <xf numFmtId="164" fontId="0" fillId="5" borderId="16" xfId="0" applyNumberFormat="1" applyFill="1" applyBorder="1" applyAlignment="1" applyProtection="1">
      <alignment horizontal="center" vertical="center"/>
    </xf>
    <xf numFmtId="166" fontId="0" fillId="2" borderId="16" xfId="0" applyNumberFormat="1" applyFill="1" applyBorder="1" applyAlignment="1" applyProtection="1">
      <alignment horizontal="center" vertical="center"/>
      <protection locked="0"/>
    </xf>
    <xf numFmtId="0" fontId="0" fillId="3" borderId="0" xfId="0" applyFill="1" applyBorder="1" applyAlignment="1"/>
    <xf numFmtId="0" fontId="0" fillId="5" borderId="0" xfId="0" applyFill="1" applyBorder="1" applyAlignment="1"/>
    <xf numFmtId="0" fontId="0" fillId="5" borderId="0" xfId="0" applyFill="1" applyBorder="1" applyAlignment="1" applyProtection="1">
      <alignment horizontal="center"/>
    </xf>
    <xf numFmtId="0" fontId="0" fillId="3" borderId="0" xfId="0" applyFill="1" applyBorder="1" applyAlignment="1" applyProtection="1">
      <alignment horizontal="center"/>
    </xf>
    <xf numFmtId="0" fontId="0" fillId="0" borderId="0" xfId="0"/>
    <xf numFmtId="0" fontId="0" fillId="0" borderId="1" xfId="0" applyBorder="1" applyProtection="1"/>
    <xf numFmtId="0" fontId="0" fillId="0" borderId="2" xfId="0" applyBorder="1" applyAlignment="1" applyProtection="1">
      <alignment horizontal="center"/>
    </xf>
    <xf numFmtId="0" fontId="0" fillId="0" borderId="3" xfId="0" applyFill="1" applyBorder="1" applyProtection="1"/>
    <xf numFmtId="0" fontId="0" fillId="5" borderId="0"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alignment horizontal="left"/>
    </xf>
    <xf numFmtId="0" fontId="11" fillId="5" borderId="0" xfId="0" applyFont="1" applyFill="1" applyBorder="1" applyAlignment="1" applyProtection="1">
      <alignment vertical="center"/>
    </xf>
    <xf numFmtId="0" fontId="3" fillId="2" borderId="16" xfId="0" applyFont="1" applyFill="1" applyBorder="1" applyAlignment="1" applyProtection="1">
      <alignment horizontal="center" vertical="center"/>
      <protection locked="0"/>
    </xf>
    <xf numFmtId="0" fontId="0" fillId="5" borderId="4" xfId="0" applyFill="1" applyBorder="1" applyProtection="1"/>
    <xf numFmtId="0" fontId="0" fillId="5" borderId="0" xfId="0" applyFill="1" applyBorder="1" applyAlignment="1" applyProtection="1">
      <alignment vertical="center"/>
    </xf>
    <xf numFmtId="0" fontId="0" fillId="5" borderId="0" xfId="0" applyFill="1" applyBorder="1" applyAlignment="1" applyProtection="1">
      <alignment vertical="top"/>
    </xf>
    <xf numFmtId="0" fontId="0" fillId="3" borderId="0" xfId="0" applyFill="1" applyBorder="1" applyAlignment="1" applyProtection="1">
      <alignment horizontal="center" vertical="center"/>
    </xf>
    <xf numFmtId="0" fontId="17" fillId="5" borderId="0" xfId="0" applyFont="1" applyFill="1" applyBorder="1" applyAlignment="1" applyProtection="1">
      <alignment vertical="top"/>
    </xf>
    <xf numFmtId="0" fontId="0" fillId="3" borderId="2" xfId="0" applyFill="1" applyBorder="1" applyAlignment="1" applyProtection="1">
      <alignment horizontal="center" vertical="center"/>
    </xf>
    <xf numFmtId="44" fontId="0" fillId="3" borderId="0" xfId="0" applyNumberFormat="1" applyFill="1" applyBorder="1" applyAlignment="1" applyProtection="1">
      <alignment horizontal="center" vertical="center"/>
    </xf>
    <xf numFmtId="0" fontId="0" fillId="0" borderId="0" xfId="0" applyAlignment="1"/>
    <xf numFmtId="0" fontId="0" fillId="5" borderId="0" xfId="0" applyFill="1" applyBorder="1" applyProtection="1"/>
    <xf numFmtId="0" fontId="0" fillId="5" borderId="0" xfId="0" applyFill="1" applyBorder="1" applyAlignment="1" applyProtection="1"/>
    <xf numFmtId="0" fontId="22" fillId="0" borderId="0" xfId="0" applyFont="1"/>
    <xf numFmtId="0" fontId="18" fillId="5" borderId="0" xfId="0" applyFont="1" applyFill="1" applyBorder="1" applyAlignment="1" applyProtection="1">
      <alignment vertical="top"/>
    </xf>
    <xf numFmtId="0" fontId="0" fillId="5" borderId="0" xfId="0" applyFill="1" applyBorder="1" applyAlignment="1" applyProtection="1">
      <alignment horizontal="right"/>
    </xf>
    <xf numFmtId="0" fontId="0" fillId="3" borderId="0" xfId="0" applyFill="1" applyBorder="1" applyAlignment="1" applyProtection="1">
      <alignment horizontal="right" vertical="center"/>
    </xf>
    <xf numFmtId="0" fontId="0" fillId="5" borderId="0" xfId="0" applyFill="1" applyBorder="1" applyAlignment="1" applyProtection="1">
      <alignment horizontal="left" vertical="center"/>
    </xf>
    <xf numFmtId="0" fontId="0" fillId="5" borderId="0" xfId="0" applyFill="1" applyBorder="1" applyAlignment="1" applyProtection="1">
      <alignment horizontal="right" vertical="center"/>
    </xf>
    <xf numFmtId="0" fontId="0" fillId="5" borderId="0" xfId="0" applyFill="1" applyBorder="1" applyAlignment="1" applyProtection="1">
      <alignment vertical="center" wrapText="1"/>
    </xf>
    <xf numFmtId="0" fontId="12" fillId="5" borderId="0" xfId="0" applyFont="1" applyFill="1" applyBorder="1" applyAlignment="1" applyProtection="1">
      <alignment horizontal="left" vertical="top"/>
    </xf>
    <xf numFmtId="44" fontId="14" fillId="5" borderId="16" xfId="0" applyNumberFormat="1" applyFont="1" applyFill="1" applyBorder="1" applyAlignment="1" applyProtection="1">
      <alignment vertical="center"/>
    </xf>
    <xf numFmtId="44" fontId="14" fillId="3" borderId="16" xfId="0" applyNumberFormat="1" applyFont="1" applyFill="1" applyBorder="1" applyAlignment="1" applyProtection="1">
      <alignment horizontal="right" vertical="center"/>
    </xf>
    <xf numFmtId="164" fontId="14" fillId="5" borderId="16" xfId="0" applyNumberFormat="1" applyFont="1" applyFill="1" applyBorder="1" applyAlignment="1" applyProtection="1">
      <alignment horizontal="right" vertical="center"/>
    </xf>
    <xf numFmtId="44" fontId="14" fillId="5" borderId="16" xfId="0" applyNumberFormat="1" applyFont="1" applyFill="1" applyBorder="1" applyAlignment="1" applyProtection="1">
      <alignment horizontal="right" vertical="center"/>
    </xf>
    <xf numFmtId="164" fontId="14" fillId="3" borderId="16" xfId="0" applyNumberFormat="1" applyFont="1" applyFill="1" applyBorder="1" applyAlignment="1" applyProtection="1">
      <alignment horizontal="right" vertical="center"/>
    </xf>
    <xf numFmtId="44" fontId="14" fillId="3" borderId="14" xfId="0" applyNumberFormat="1" applyFont="1" applyFill="1" applyBorder="1" applyAlignment="1" applyProtection="1">
      <alignment horizontal="right" vertical="center"/>
    </xf>
    <xf numFmtId="166" fontId="14" fillId="5" borderId="16" xfId="0" applyNumberFormat="1" applyFont="1" applyFill="1" applyBorder="1" applyAlignment="1" applyProtection="1">
      <alignment horizontal="right" vertical="center"/>
    </xf>
    <xf numFmtId="165" fontId="14" fillId="5" borderId="16" xfId="0" applyNumberFormat="1" applyFont="1" applyFill="1" applyBorder="1" applyAlignment="1" applyProtection="1">
      <alignment vertical="center"/>
    </xf>
    <xf numFmtId="170" fontId="14" fillId="5" borderId="16" xfId="0" applyNumberFormat="1" applyFont="1" applyFill="1" applyBorder="1" applyAlignment="1" applyProtection="1">
      <alignment vertical="center"/>
    </xf>
    <xf numFmtId="0" fontId="14" fillId="0" borderId="16" xfId="0" applyFont="1" applyBorder="1" applyAlignment="1" applyProtection="1">
      <alignment horizontal="center" vertical="center"/>
      <protection locked="0"/>
    </xf>
    <xf numFmtId="44" fontId="14" fillId="2" borderId="16" xfId="1" applyFont="1" applyFill="1" applyBorder="1" applyAlignment="1" applyProtection="1">
      <alignment horizontal="right" vertical="center"/>
      <protection locked="0"/>
    </xf>
    <xf numFmtId="44" fontId="11" fillId="3" borderId="16" xfId="0" applyNumberFormat="1" applyFont="1" applyFill="1" applyBorder="1" applyAlignment="1" applyProtection="1">
      <alignment horizontal="right" vertical="center"/>
    </xf>
    <xf numFmtId="0" fontId="14" fillId="2" borderId="17" xfId="0" applyFont="1" applyFill="1" applyBorder="1" applyAlignment="1" applyProtection="1">
      <alignment horizontal="right" vertical="center"/>
      <protection locked="0"/>
    </xf>
    <xf numFmtId="0" fontId="14" fillId="5" borderId="19" xfId="0" applyFont="1" applyFill="1" applyBorder="1" applyAlignment="1" applyProtection="1">
      <alignment vertical="center"/>
    </xf>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applyAlignment="1">
      <alignment horizontal="center"/>
    </xf>
    <xf numFmtId="0" fontId="0" fillId="10" borderId="0" xfId="0" applyFill="1" applyBorder="1" applyAlignment="1">
      <alignment horizontal="center"/>
    </xf>
    <xf numFmtId="0" fontId="0" fillId="10" borderId="5" xfId="0" applyFill="1" applyBorder="1"/>
    <xf numFmtId="44" fontId="0" fillId="7" borderId="51" xfId="1" applyFont="1" applyFill="1" applyBorder="1"/>
    <xf numFmtId="44" fontId="0" fillId="7" borderId="58" xfId="1" applyFont="1" applyFill="1" applyBorder="1"/>
    <xf numFmtId="44" fontId="0" fillId="7" borderId="52" xfId="1" applyFont="1" applyFill="1" applyBorder="1"/>
    <xf numFmtId="0" fontId="0" fillId="10" borderId="8" xfId="0" applyFill="1" applyBorder="1"/>
    <xf numFmtId="0" fontId="0" fillId="10" borderId="4" xfId="0" applyFill="1" applyBorder="1"/>
    <xf numFmtId="0" fontId="0" fillId="10" borderId="0" xfId="0" applyFill="1" applyBorder="1"/>
    <xf numFmtId="0" fontId="0" fillId="7" borderId="51" xfId="0" applyFill="1" applyBorder="1"/>
    <xf numFmtId="0" fontId="0" fillId="7" borderId="56" xfId="0" applyFill="1" applyBorder="1"/>
    <xf numFmtId="0" fontId="0" fillId="7" borderId="38" xfId="0" applyFill="1" applyBorder="1"/>
    <xf numFmtId="0" fontId="0" fillId="7" borderId="11"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44" fontId="0" fillId="7" borderId="62" xfId="1" applyFont="1" applyFill="1" applyBorder="1"/>
    <xf numFmtId="166" fontId="0" fillId="10" borderId="51" xfId="1" applyNumberFormat="1" applyFont="1" applyFill="1" applyBorder="1"/>
    <xf numFmtId="166" fontId="0" fillId="10" borderId="52" xfId="1" applyNumberFormat="1" applyFont="1" applyFill="1" applyBorder="1"/>
    <xf numFmtId="166" fontId="0" fillId="6" borderId="38" xfId="1" applyNumberFormat="1" applyFont="1" applyFill="1" applyBorder="1"/>
    <xf numFmtId="166" fontId="0" fillId="6" borderId="39" xfId="1" applyNumberFormat="1" applyFont="1" applyFill="1" applyBorder="1"/>
    <xf numFmtId="0" fontId="0" fillId="7" borderId="60" xfId="0" applyFill="1" applyBorder="1"/>
    <xf numFmtId="0" fontId="0" fillId="7" borderId="15" xfId="0" applyFill="1" applyBorder="1"/>
    <xf numFmtId="0" fontId="0" fillId="7" borderId="61" xfId="0" applyFill="1" applyBorder="1"/>
    <xf numFmtId="166" fontId="0" fillId="7" borderId="38" xfId="1" applyNumberFormat="1" applyFont="1" applyFill="1" applyBorder="1"/>
    <xf numFmtId="166" fontId="0" fillId="7" borderId="39" xfId="1" applyNumberFormat="1" applyFont="1" applyFill="1" applyBorder="1"/>
    <xf numFmtId="166" fontId="0" fillId="7" borderId="40" xfId="1" applyNumberFormat="1" applyFont="1" applyFill="1" applyBorder="1"/>
    <xf numFmtId="0" fontId="0" fillId="7" borderId="62" xfId="0" applyFill="1" applyBorder="1" applyAlignment="1">
      <alignment horizontal="center"/>
    </xf>
    <xf numFmtId="0" fontId="0" fillId="7" borderId="82" xfId="0" applyFill="1" applyBorder="1" applyAlignment="1">
      <alignment horizontal="center"/>
    </xf>
    <xf numFmtId="0" fontId="0" fillId="7" borderId="83" xfId="0" applyFill="1" applyBorder="1" applyAlignment="1">
      <alignment horizontal="center"/>
    </xf>
    <xf numFmtId="0" fontId="0" fillId="10" borderId="38" xfId="0" applyFill="1" applyBorder="1"/>
    <xf numFmtId="0" fontId="0" fillId="10" borderId="39" xfId="0" applyFill="1" applyBorder="1"/>
    <xf numFmtId="0" fontId="0" fillId="10" borderId="40" xfId="0" applyFill="1" applyBorder="1"/>
    <xf numFmtId="0" fontId="0" fillId="10" borderId="42" xfId="0" applyFill="1" applyBorder="1"/>
    <xf numFmtId="44" fontId="14" fillId="3" borderId="16" xfId="0" applyNumberFormat="1" applyFont="1" applyFill="1" applyBorder="1" applyAlignment="1" applyProtection="1">
      <alignment vertical="center"/>
    </xf>
    <xf numFmtId="44" fontId="11" fillId="3" borderId="16" xfId="0" applyNumberFormat="1" applyFont="1" applyFill="1" applyBorder="1" applyAlignment="1" applyProtection="1">
      <alignment horizontal="center" vertical="center"/>
    </xf>
    <xf numFmtId="44" fontId="14" fillId="2" borderId="16" xfId="1" applyFont="1" applyFill="1" applyBorder="1" applyAlignment="1" applyProtection="1">
      <alignment horizontal="center" vertical="center"/>
      <protection locked="0"/>
    </xf>
    <xf numFmtId="44" fontId="14" fillId="3" borderId="16" xfId="0" applyNumberFormat="1" applyFont="1" applyFill="1" applyBorder="1" applyAlignment="1" applyProtection="1">
      <alignment horizontal="center" vertical="center"/>
    </xf>
    <xf numFmtId="164" fontId="14" fillId="5" borderId="16" xfId="0" applyNumberFormat="1" applyFont="1" applyFill="1" applyBorder="1" applyAlignment="1" applyProtection="1">
      <alignment vertical="center"/>
    </xf>
    <xf numFmtId="37" fontId="14" fillId="2" borderId="16" xfId="1" applyNumberFormat="1"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xf>
    <xf numFmtId="166" fontId="14" fillId="5" borderId="16" xfId="0" applyNumberFormat="1" applyFont="1" applyFill="1" applyBorder="1" applyAlignment="1" applyProtection="1">
      <alignment vertical="center"/>
    </xf>
    <xf numFmtId="164" fontId="14" fillId="3" borderId="16" xfId="0" applyNumberFormat="1" applyFont="1" applyFill="1" applyBorder="1" applyAlignment="1" applyProtection="1">
      <alignment vertical="center"/>
    </xf>
    <xf numFmtId="0" fontId="0" fillId="5" borderId="0" xfId="0" applyFill="1"/>
    <xf numFmtId="0" fontId="0" fillId="0" borderId="4" xfId="0" applyFill="1" applyBorder="1"/>
    <xf numFmtId="0" fontId="0" fillId="5" borderId="0" xfId="0" applyFill="1" applyBorder="1" applyAlignment="1" applyProtection="1">
      <alignment horizontal="left" vertical="center"/>
    </xf>
    <xf numFmtId="44" fontId="0" fillId="11" borderId="45" xfId="1" applyFont="1" applyFill="1" applyBorder="1"/>
    <xf numFmtId="44" fontId="0" fillId="11" borderId="11" xfId="1" applyFont="1" applyFill="1" applyBorder="1"/>
    <xf numFmtId="44" fontId="0" fillId="11" borderId="39" xfId="1" applyFont="1" applyFill="1" applyBorder="1"/>
    <xf numFmtId="44" fontId="0" fillId="11" borderId="41" xfId="1" applyFont="1" applyFill="1" applyBorder="1"/>
    <xf numFmtId="44" fontId="0" fillId="11" borderId="42" xfId="1" applyFont="1" applyFill="1" applyBorder="1"/>
    <xf numFmtId="0" fontId="0" fillId="11" borderId="11" xfId="0" applyFill="1" applyBorder="1"/>
    <xf numFmtId="0" fontId="0" fillId="6" borderId="11" xfId="0" applyFill="1" applyBorder="1"/>
    <xf numFmtId="0" fontId="0" fillId="10" borderId="11" xfId="0" applyFill="1" applyBorder="1"/>
    <xf numFmtId="0" fontId="0" fillId="0" borderId="37" xfId="0" applyBorder="1" applyAlignment="1">
      <alignment horizontal="right"/>
    </xf>
    <xf numFmtId="172" fontId="0" fillId="0" borderId="0" xfId="0" applyNumberFormat="1" applyBorder="1"/>
    <xf numFmtId="0" fontId="11" fillId="5" borderId="19" xfId="0" applyFont="1" applyFill="1" applyBorder="1" applyAlignment="1" applyProtection="1">
      <alignment horizontal="left" vertical="center"/>
    </xf>
    <xf numFmtId="0" fontId="0" fillId="5" borderId="0" xfId="0" applyFill="1" applyBorder="1" applyAlignment="1" applyProtection="1">
      <alignment horizontal="left" wrapText="1"/>
    </xf>
    <xf numFmtId="0" fontId="2" fillId="0" borderId="0" xfId="0" applyFont="1" applyAlignment="1"/>
    <xf numFmtId="0" fontId="18" fillId="5" borderId="0" xfId="0" applyFont="1" applyFill="1" applyBorder="1" applyAlignment="1" applyProtection="1">
      <alignment vertical="top" wrapText="1"/>
    </xf>
    <xf numFmtId="166" fontId="11" fillId="2" borderId="16" xfId="1" applyNumberFormat="1" applyFont="1" applyFill="1" applyBorder="1" applyAlignment="1" applyProtection="1">
      <alignment horizontal="right" vertical="center"/>
      <protection locked="0"/>
    </xf>
    <xf numFmtId="0" fontId="2" fillId="5" borderId="0" xfId="0" applyFont="1" applyFill="1" applyBorder="1" applyAlignment="1" applyProtection="1">
      <alignment vertical="center"/>
    </xf>
    <xf numFmtId="0" fontId="2" fillId="5" borderId="0" xfId="0" applyFont="1" applyFill="1" applyBorder="1" applyProtection="1"/>
    <xf numFmtId="0" fontId="11" fillId="5" borderId="18" xfId="0" applyFont="1" applyFill="1" applyBorder="1" applyAlignment="1" applyProtection="1">
      <alignment vertical="center"/>
    </xf>
    <xf numFmtId="0" fontId="11" fillId="5" borderId="0" xfId="0" applyFont="1" applyFill="1" applyBorder="1" applyAlignment="1" applyProtection="1">
      <alignment horizontal="right" vertical="center"/>
    </xf>
    <xf numFmtId="0" fontId="0" fillId="5" borderId="19" xfId="0" applyFill="1" applyBorder="1" applyProtection="1"/>
    <xf numFmtId="0" fontId="0" fillId="0" borderId="0" xfId="0" applyFill="1" applyBorder="1" applyProtection="1"/>
    <xf numFmtId="0" fontId="4"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protection locked="0"/>
    </xf>
    <xf numFmtId="0" fontId="0" fillId="0" borderId="5" xfId="0" applyFill="1" applyBorder="1" applyProtection="1"/>
    <xf numFmtId="0" fontId="0" fillId="0" borderId="7" xfId="0" applyFill="1" applyBorder="1" applyProtection="1"/>
    <xf numFmtId="0" fontId="0" fillId="0" borderId="8" xfId="0" applyFill="1" applyBorder="1" applyProtection="1"/>
    <xf numFmtId="0" fontId="11" fillId="5" borderId="0" xfId="0" applyFont="1" applyFill="1" applyAlignment="1" applyProtection="1">
      <alignment vertical="top" wrapText="1"/>
    </xf>
    <xf numFmtId="0" fontId="11" fillId="5" borderId="0" xfId="0" applyFont="1" applyFill="1" applyBorder="1" applyAlignment="1" applyProtection="1">
      <alignment horizontal="center" vertical="center" wrapText="1"/>
    </xf>
    <xf numFmtId="0" fontId="2" fillId="5" borderId="0" xfId="0" applyFont="1" applyFill="1" applyAlignment="1" applyProtection="1"/>
    <xf numFmtId="0" fontId="11" fillId="5" borderId="0" xfId="0" applyFont="1" applyFill="1" applyAlignment="1" applyProtection="1">
      <alignment vertical="center"/>
    </xf>
    <xf numFmtId="0" fontId="11" fillId="5" borderId="0" xfId="0" applyFont="1" applyFill="1" applyAlignment="1" applyProtection="1">
      <alignment horizontal="left" vertical="top" wrapText="1"/>
    </xf>
    <xf numFmtId="0" fontId="11" fillId="5" borderId="0" xfId="0" applyFont="1" applyFill="1" applyAlignment="1" applyProtection="1">
      <alignment vertical="top"/>
    </xf>
    <xf numFmtId="0" fontId="0" fillId="0" borderId="4" xfId="0" applyBorder="1" applyProtection="1"/>
    <xf numFmtId="0" fontId="0" fillId="0" borderId="0" xfId="0" applyBorder="1" applyAlignment="1" applyProtection="1">
      <alignment horizontal="center"/>
    </xf>
    <xf numFmtId="44" fontId="0" fillId="7" borderId="73" xfId="1" applyFont="1" applyFill="1" applyBorder="1"/>
    <xf numFmtId="0" fontId="0" fillId="7" borderId="31" xfId="0" applyFill="1" applyBorder="1" applyAlignment="1">
      <alignment horizontal="center"/>
    </xf>
    <xf numFmtId="0" fontId="2" fillId="5" borderId="2" xfId="0" applyFont="1" applyFill="1" applyBorder="1" applyAlignment="1" applyProtection="1"/>
    <xf numFmtId="0" fontId="11" fillId="5" borderId="2" xfId="0" applyFont="1" applyFill="1" applyBorder="1" applyAlignment="1" applyProtection="1">
      <alignment vertical="top" wrapText="1"/>
    </xf>
    <xf numFmtId="0" fontId="0" fillId="12" borderId="1" xfId="0" applyFill="1" applyBorder="1" applyProtection="1"/>
    <xf numFmtId="0" fontId="0" fillId="12" borderId="4" xfId="0" applyFill="1" applyBorder="1" applyProtection="1"/>
    <xf numFmtId="0" fontId="0" fillId="12" borderId="0" xfId="0" applyFill="1"/>
    <xf numFmtId="0" fontId="0" fillId="12" borderId="0" xfId="0" applyFill="1" applyBorder="1" applyAlignment="1" applyProtection="1">
      <alignment vertical="top" wrapText="1"/>
    </xf>
    <xf numFmtId="164" fontId="0" fillId="12" borderId="0" xfId="0" applyNumberFormat="1" applyFill="1" applyBorder="1" applyAlignment="1" applyProtection="1"/>
    <xf numFmtId="0" fontId="0" fillId="12" borderId="0" xfId="0" applyFill="1" applyBorder="1" applyAlignment="1" applyProtection="1">
      <alignment vertical="center"/>
    </xf>
    <xf numFmtId="0" fontId="23" fillId="0" borderId="17" xfId="0" applyFont="1" applyFill="1" applyBorder="1" applyAlignment="1" applyProtection="1">
      <alignment horizontal="center" vertical="center"/>
      <protection locked="0"/>
    </xf>
    <xf numFmtId="0" fontId="11" fillId="5" borderId="0" xfId="0" applyFont="1" applyFill="1" applyBorder="1" applyAlignment="1"/>
    <xf numFmtId="0" fontId="14" fillId="12" borderId="19" xfId="0" applyFont="1" applyFill="1" applyBorder="1" applyAlignment="1" applyProtection="1">
      <alignment vertical="center"/>
    </xf>
    <xf numFmtId="0" fontId="4" fillId="0" borderId="0" xfId="0" applyFont="1" applyFill="1" applyAlignment="1" applyProtection="1">
      <alignment vertical="center"/>
    </xf>
    <xf numFmtId="0" fontId="11" fillId="5" borderId="17" xfId="0" applyFont="1" applyFill="1" applyBorder="1" applyAlignment="1" applyProtection="1">
      <alignment vertical="center"/>
    </xf>
    <xf numFmtId="0" fontId="14" fillId="12" borderId="17" xfId="0" applyFont="1" applyFill="1" applyBorder="1" applyAlignment="1" applyProtection="1">
      <alignment horizontal="center" vertical="center"/>
    </xf>
    <xf numFmtId="8" fontId="0" fillId="0" borderId="0" xfId="0" applyNumberFormat="1"/>
    <xf numFmtId="0" fontId="5" fillId="0" borderId="0" xfId="0" applyFont="1"/>
    <xf numFmtId="0" fontId="1" fillId="0" borderId="0" xfId="0" applyFont="1" applyFill="1" applyBorder="1"/>
    <xf numFmtId="0" fontId="0" fillId="13" borderId="86" xfId="0" applyFont="1" applyFill="1" applyBorder="1"/>
    <xf numFmtId="167" fontId="0" fillId="7" borderId="87" xfId="1" applyNumberFormat="1" applyFont="1" applyFill="1" applyBorder="1"/>
    <xf numFmtId="0" fontId="0" fillId="13" borderId="88" xfId="0" applyFill="1" applyBorder="1"/>
    <xf numFmtId="167" fontId="0" fillId="7" borderId="89" xfId="1" applyNumberFormat="1" applyFont="1" applyFill="1" applyBorder="1"/>
    <xf numFmtId="0" fontId="0" fillId="13" borderId="88" xfId="0" applyFont="1" applyFill="1" applyBorder="1"/>
    <xf numFmtId="0" fontId="1" fillId="13" borderId="90" xfId="0" applyFont="1" applyFill="1" applyBorder="1"/>
    <xf numFmtId="167" fontId="0" fillId="7" borderId="91" xfId="1" applyNumberFormat="1" applyFont="1" applyFill="1" applyBorder="1"/>
    <xf numFmtId="0" fontId="2" fillId="13" borderId="92" xfId="0" applyFont="1" applyFill="1" applyBorder="1"/>
    <xf numFmtId="0" fontId="2" fillId="13" borderId="93" xfId="0" applyFont="1" applyFill="1" applyBorder="1" applyAlignment="1"/>
    <xf numFmtId="0" fontId="24" fillId="14" borderId="0" xfId="2"/>
    <xf numFmtId="171" fontId="0" fillId="0" borderId="0" xfId="0" applyNumberFormat="1"/>
    <xf numFmtId="44" fontId="0" fillId="11" borderId="40" xfId="1" applyFont="1" applyFill="1" applyBorder="1"/>
    <xf numFmtId="44" fontId="0" fillId="11" borderId="38" xfId="1" applyFont="1" applyFill="1" applyBorder="1"/>
    <xf numFmtId="173" fontId="0" fillId="0" borderId="0" xfId="0" applyNumberFormat="1"/>
    <xf numFmtId="0" fontId="15" fillId="5" borderId="0" xfId="0" applyFont="1" applyFill="1" applyAlignment="1" applyProtection="1">
      <alignment horizontal="right"/>
    </xf>
    <xf numFmtId="0" fontId="0" fillId="15" borderId="5" xfId="0" applyFill="1" applyBorder="1"/>
    <xf numFmtId="0" fontId="0" fillId="15" borderId="0" xfId="0" applyFill="1"/>
    <xf numFmtId="171" fontId="0" fillId="15" borderId="56" xfId="0" applyNumberFormat="1" applyFill="1" applyBorder="1"/>
    <xf numFmtId="0" fontId="13" fillId="5" borderId="0" xfId="0" applyFont="1" applyFill="1" applyBorder="1" applyAlignment="1" applyProtection="1">
      <alignment vertical="center" wrapText="1"/>
    </xf>
    <xf numFmtId="0" fontId="15" fillId="12" borderId="0" xfId="0" applyFont="1" applyFill="1" applyBorder="1" applyAlignment="1" applyProtection="1">
      <alignment horizontal="right" vertical="top"/>
    </xf>
    <xf numFmtId="0" fontId="15" fillId="5" borderId="0" xfId="0" applyFont="1" applyFill="1" applyBorder="1" applyAlignment="1" applyProtection="1">
      <alignment horizontal="right" vertical="top"/>
    </xf>
    <xf numFmtId="0" fontId="15" fillId="3" borderId="0" xfId="0" applyFont="1" applyFill="1" applyBorder="1" applyAlignment="1" applyProtection="1">
      <alignment horizontal="right" vertical="top"/>
    </xf>
    <xf numFmtId="164" fontId="15" fillId="5" borderId="0" xfId="0" applyNumberFormat="1" applyFont="1" applyFill="1" applyBorder="1" applyAlignment="1" applyProtection="1">
      <alignment horizontal="right" vertical="top"/>
    </xf>
    <xf numFmtId="0" fontId="15" fillId="3" borderId="7" xfId="0" applyFont="1" applyFill="1" applyBorder="1" applyAlignment="1" applyProtection="1">
      <alignment horizontal="right" vertical="top"/>
    </xf>
    <xf numFmtId="0" fontId="0" fillId="5" borderId="94" xfId="0" applyFill="1" applyBorder="1" applyAlignment="1" applyProtection="1">
      <alignment horizontal="left"/>
    </xf>
    <xf numFmtId="0" fontId="0" fillId="5" borderId="94" xfId="0" applyFill="1" applyBorder="1" applyProtection="1"/>
    <xf numFmtId="171" fontId="0" fillId="16" borderId="56" xfId="0" applyNumberFormat="1" applyFill="1" applyBorder="1"/>
    <xf numFmtId="171" fontId="0" fillId="16" borderId="57" xfId="0" applyNumberFormat="1" applyFill="1" applyBorder="1"/>
    <xf numFmtId="171" fontId="0" fillId="0" borderId="0" xfId="0" applyNumberFormat="1" applyBorder="1"/>
    <xf numFmtId="174" fontId="0" fillId="7" borderId="56" xfId="0" applyNumberFormat="1" applyFill="1" applyBorder="1"/>
    <xf numFmtId="171" fontId="0" fillId="15" borderId="0" xfId="0" applyNumberFormat="1" applyFill="1"/>
    <xf numFmtId="0" fontId="0" fillId="0" borderId="2" xfId="0" applyFill="1" applyBorder="1"/>
    <xf numFmtId="171" fontId="0" fillId="16" borderId="96" xfId="0" applyNumberFormat="1" applyFill="1" applyBorder="1"/>
    <xf numFmtId="171" fontId="0" fillId="15" borderId="96" xfId="0" applyNumberFormat="1" applyFill="1" applyBorder="1"/>
    <xf numFmtId="0" fontId="0" fillId="15" borderId="95" xfId="0" applyFill="1" applyBorder="1"/>
    <xf numFmtId="175" fontId="0" fillId="0" borderId="0" xfId="0" applyNumberFormat="1"/>
    <xf numFmtId="0" fontId="0" fillId="0" borderId="80" xfId="0" applyBorder="1"/>
    <xf numFmtId="9" fontId="0" fillId="6" borderId="31" xfId="0" applyNumberFormat="1" applyFill="1" applyBorder="1" applyAlignment="1">
      <alignment horizontal="left"/>
    </xf>
    <xf numFmtId="44" fontId="0" fillId="11" borderId="44" xfId="1" applyFont="1" applyFill="1" applyBorder="1"/>
    <xf numFmtId="172" fontId="0" fillId="0" borderId="0" xfId="0" applyNumberFormat="1"/>
    <xf numFmtId="0" fontId="0" fillId="0" borderId="8" xfId="0" applyFill="1" applyBorder="1"/>
    <xf numFmtId="0" fontId="11" fillId="5" borderId="94" xfId="0" applyFont="1" applyFill="1" applyBorder="1" applyAlignment="1" applyProtection="1">
      <alignment horizontal="left" vertical="center"/>
    </xf>
    <xf numFmtId="0" fontId="0" fillId="13" borderId="76" xfId="0" applyFill="1" applyBorder="1"/>
    <xf numFmtId="167" fontId="0" fillId="7" borderId="77" xfId="1" applyNumberFormat="1" applyFont="1" applyFill="1" applyBorder="1"/>
    <xf numFmtId="0" fontId="0" fillId="13" borderId="76" xfId="0" applyFont="1" applyFill="1" applyBorder="1"/>
    <xf numFmtId="0" fontId="1" fillId="13" borderId="78" xfId="0" applyFont="1" applyFill="1" applyBorder="1"/>
    <xf numFmtId="167" fontId="0" fillId="7" borderId="97" xfId="1" applyNumberFormat="1" applyFont="1" applyFill="1" applyBorder="1"/>
    <xf numFmtId="0" fontId="0" fillId="13" borderId="98" xfId="0" applyFont="1" applyFill="1" applyBorder="1"/>
    <xf numFmtId="167" fontId="0" fillId="7" borderId="99" xfId="1" applyNumberFormat="1" applyFont="1" applyFill="1" applyBorder="1"/>
    <xf numFmtId="0" fontId="2" fillId="13" borderId="100" xfId="0" applyFont="1" applyFill="1" applyBorder="1"/>
    <xf numFmtId="0" fontId="2" fillId="13" borderId="101" xfId="0" applyFont="1" applyFill="1" applyBorder="1" applyAlignment="1"/>
    <xf numFmtId="0" fontId="0" fillId="0" borderId="34" xfId="0" applyFont="1" applyFill="1" applyBorder="1"/>
    <xf numFmtId="164" fontId="0" fillId="7" borderId="55" xfId="1" applyNumberFormat="1" applyFont="1" applyFill="1" applyBorder="1"/>
    <xf numFmtId="164" fontId="0" fillId="7" borderId="56" xfId="1" applyNumberFormat="1" applyFont="1" applyFill="1" applyBorder="1"/>
    <xf numFmtId="164" fontId="0" fillId="7" borderId="56" xfId="0" applyNumberFormat="1" applyFill="1" applyBorder="1"/>
    <xf numFmtId="164" fontId="0" fillId="7" borderId="57" xfId="0" applyNumberFormat="1" applyFill="1" applyBorder="1"/>
    <xf numFmtId="44" fontId="0" fillId="17" borderId="43" xfId="1" applyFont="1" applyFill="1" applyBorder="1"/>
    <xf numFmtId="44" fontId="0" fillId="17" borderId="38" xfId="1" applyFont="1" applyFill="1" applyBorder="1"/>
    <xf numFmtId="173" fontId="0" fillId="17" borderId="31" xfId="0" applyNumberFormat="1" applyFill="1" applyBorder="1"/>
    <xf numFmtId="171" fontId="0" fillId="15" borderId="102" xfId="0" applyNumberFormat="1" applyFill="1" applyBorder="1"/>
    <xf numFmtId="0" fontId="0" fillId="10" borderId="106" xfId="0" applyFill="1" applyBorder="1"/>
    <xf numFmtId="0" fontId="0" fillId="10" borderId="107" xfId="0" applyFill="1" applyBorder="1"/>
    <xf numFmtId="173" fontId="0" fillId="6" borderId="108" xfId="0" applyNumberFormat="1" applyFill="1" applyBorder="1"/>
    <xf numFmtId="173" fontId="0" fillId="6" borderId="109" xfId="0" applyNumberFormat="1" applyFill="1" applyBorder="1"/>
    <xf numFmtId="173" fontId="0" fillId="6" borderId="110" xfId="0" applyNumberFormat="1" applyFill="1" applyBorder="1"/>
    <xf numFmtId="173" fontId="0" fillId="6" borderId="111" xfId="0" applyNumberFormat="1" applyFill="1" applyBorder="1"/>
    <xf numFmtId="173" fontId="0" fillId="6" borderId="112" xfId="0" applyNumberFormat="1" applyFill="1" applyBorder="1"/>
    <xf numFmtId="173" fontId="0" fillId="6" borderId="113" xfId="0" applyNumberFormat="1" applyFill="1" applyBorder="1"/>
    <xf numFmtId="173" fontId="0" fillId="6" borderId="114" xfId="0" applyNumberFormat="1" applyFill="1" applyBorder="1"/>
    <xf numFmtId="0" fontId="26" fillId="0" borderId="0" xfId="0" applyFont="1" applyBorder="1" applyAlignment="1">
      <alignment horizontal="right"/>
    </xf>
    <xf numFmtId="0" fontId="26" fillId="0" borderId="0" xfId="0" applyFont="1" applyBorder="1"/>
    <xf numFmtId="0" fontId="0" fillId="15" borderId="7" xfId="0" applyFill="1" applyBorder="1"/>
    <xf numFmtId="0" fontId="0" fillId="0" borderId="115" xfId="0" applyBorder="1" applyAlignment="1">
      <alignment horizontal="right"/>
    </xf>
    <xf numFmtId="173" fontId="0" fillId="17" borderId="116" xfId="0" applyNumberFormat="1" applyFill="1" applyBorder="1"/>
    <xf numFmtId="0" fontId="0" fillId="0" borderId="117" xfId="0" applyBorder="1" applyAlignment="1">
      <alignment horizontal="right"/>
    </xf>
    <xf numFmtId="173" fontId="0" fillId="17" borderId="118" xfId="0" applyNumberFormat="1" applyFill="1" applyBorder="1"/>
    <xf numFmtId="0" fontId="0" fillId="0" borderId="117" xfId="0" applyFill="1" applyBorder="1" applyAlignment="1">
      <alignment horizontal="right"/>
    </xf>
    <xf numFmtId="0" fontId="0" fillId="0" borderId="119" xfId="0" applyFill="1" applyBorder="1" applyAlignment="1">
      <alignment horizontal="right"/>
    </xf>
    <xf numFmtId="173" fontId="0" fillId="17" borderId="120" xfId="0" applyNumberFormat="1" applyFill="1" applyBorder="1"/>
    <xf numFmtId="0" fontId="25" fillId="0" borderId="1" xfId="0" applyFont="1" applyBorder="1"/>
    <xf numFmtId="0" fontId="27" fillId="3" borderId="0" xfId="0" applyFont="1" applyFill="1" applyBorder="1" applyProtection="1"/>
    <xf numFmtId="0" fontId="27" fillId="5" borderId="13" xfId="0" applyFont="1" applyFill="1" applyBorder="1" applyProtection="1"/>
    <xf numFmtId="0" fontId="13" fillId="3" borderId="0" xfId="0" applyFont="1" applyFill="1" applyBorder="1" applyAlignment="1" applyProtection="1">
      <alignment horizontal="left" vertical="top"/>
    </xf>
    <xf numFmtId="44" fontId="0" fillId="17" borderId="43" xfId="0" applyNumberFormat="1" applyFill="1" applyBorder="1"/>
    <xf numFmtId="44" fontId="0" fillId="17" borderId="44" xfId="0" applyNumberFormat="1" applyFill="1" applyBorder="1"/>
    <xf numFmtId="44" fontId="0" fillId="17" borderId="45" xfId="0" applyNumberFormat="1" applyFill="1" applyBorder="1"/>
    <xf numFmtId="44" fontId="0" fillId="17" borderId="38" xfId="0" applyNumberFormat="1" applyFill="1" applyBorder="1"/>
    <xf numFmtId="44" fontId="0" fillId="17" borderId="11" xfId="0" applyNumberFormat="1" applyFill="1" applyBorder="1"/>
    <xf numFmtId="44" fontId="0" fillId="17" borderId="39" xfId="0" applyNumberFormat="1" applyFill="1" applyBorder="1"/>
    <xf numFmtId="44" fontId="0" fillId="17" borderId="40" xfId="0" applyNumberFormat="1" applyFill="1" applyBorder="1"/>
    <xf numFmtId="44" fontId="0" fillId="17" borderId="41" xfId="0" applyNumberFormat="1" applyFill="1" applyBorder="1"/>
    <xf numFmtId="44" fontId="0" fillId="17" borderId="42" xfId="0" applyNumberFormat="1" applyFill="1" applyBorder="1"/>
    <xf numFmtId="44" fontId="0" fillId="10" borderId="33" xfId="0" applyNumberFormat="1" applyFill="1" applyBorder="1"/>
    <xf numFmtId="44" fontId="0" fillId="10" borderId="34" xfId="0" applyNumberFormat="1" applyFill="1" applyBorder="1"/>
    <xf numFmtId="44" fontId="0" fillId="10" borderId="35" xfId="0" applyNumberFormat="1" applyFill="1" applyBorder="1"/>
    <xf numFmtId="44" fontId="0" fillId="10" borderId="46" xfId="0" applyNumberFormat="1" applyFill="1" applyBorder="1" applyAlignment="1">
      <alignment horizontal="center"/>
    </xf>
    <xf numFmtId="44" fontId="0" fillId="10" borderId="47" xfId="0" applyNumberFormat="1" applyFill="1" applyBorder="1" applyAlignment="1">
      <alignment horizontal="center"/>
    </xf>
    <xf numFmtId="44" fontId="0" fillId="10" borderId="48" xfId="0" applyNumberFormat="1" applyFill="1" applyBorder="1" applyAlignment="1">
      <alignment horizontal="center"/>
    </xf>
    <xf numFmtId="0" fontId="0" fillId="5" borderId="0" xfId="0" applyFill="1" applyBorder="1" applyAlignment="1" applyProtection="1">
      <alignment horizontal="left" vertical="top"/>
    </xf>
    <xf numFmtId="0" fontId="18" fillId="5" borderId="0" xfId="0" applyFont="1" applyFill="1" applyBorder="1" applyAlignment="1" applyProtection="1">
      <alignment horizontal="left" vertical="top" wrapText="1"/>
    </xf>
    <xf numFmtId="0" fontId="0" fillId="5" borderId="0" xfId="0" applyFill="1" applyBorder="1" applyAlignment="1" applyProtection="1">
      <alignment horizontal="left" vertical="center" wrapText="1"/>
    </xf>
    <xf numFmtId="0" fontId="11" fillId="5" borderId="17" xfId="0" applyFont="1" applyFill="1" applyBorder="1" applyAlignment="1" applyProtection="1">
      <alignment horizontal="left" vertical="center"/>
    </xf>
    <xf numFmtId="0" fontId="11" fillId="5" borderId="18" xfId="0" applyFont="1" applyFill="1" applyBorder="1" applyAlignment="1" applyProtection="1">
      <alignment horizontal="left" vertical="center"/>
    </xf>
    <xf numFmtId="0" fontId="11" fillId="5" borderId="19" xfId="0" applyFont="1" applyFill="1" applyBorder="1" applyAlignment="1" applyProtection="1">
      <alignment horizontal="left"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7" xfId="0" applyFont="1" applyFill="1" applyBorder="1" applyAlignment="1" applyProtection="1">
      <alignment horizontal="left" vertical="top" wrapText="1"/>
    </xf>
    <xf numFmtId="0" fontId="2" fillId="5" borderId="13" xfId="0" applyFont="1" applyFill="1" applyBorder="1" applyAlignment="1" applyProtection="1">
      <alignment horizontal="center"/>
    </xf>
    <xf numFmtId="0" fontId="0" fillId="5" borderId="0" xfId="0" applyFill="1" applyBorder="1" applyAlignment="1" applyProtection="1">
      <alignment horizontal="right" wrapText="1"/>
    </xf>
    <xf numFmtId="0" fontId="0" fillId="5" borderId="12" xfId="0" applyFill="1" applyBorder="1" applyAlignment="1" applyProtection="1">
      <alignment horizontal="right" wrapText="1"/>
    </xf>
    <xf numFmtId="0" fontId="0" fillId="5" borderId="0" xfId="0" applyFill="1" applyBorder="1" applyAlignment="1" applyProtection="1">
      <alignment horizontal="right" vertical="center" wrapText="1"/>
    </xf>
    <xf numFmtId="0" fontId="0" fillId="5" borderId="12" xfId="0" applyFill="1" applyBorder="1" applyAlignment="1" applyProtection="1">
      <alignment horizontal="right" vertical="center" wrapText="1"/>
    </xf>
    <xf numFmtId="0" fontId="11" fillId="3" borderId="17"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0" fillId="3" borderId="0" xfId="0" applyFill="1" applyBorder="1" applyAlignment="1" applyProtection="1">
      <alignment horizontal="right" vertical="center" wrapText="1"/>
    </xf>
    <xf numFmtId="0" fontId="0" fillId="3" borderId="12" xfId="0" applyFill="1" applyBorder="1" applyAlignment="1" applyProtection="1">
      <alignment horizontal="right" vertical="center" wrapText="1"/>
    </xf>
    <xf numFmtId="0" fontId="13" fillId="3" borderId="0" xfId="0" applyFont="1" applyFill="1" applyBorder="1" applyAlignment="1" applyProtection="1">
      <alignment horizontal="left" vertical="top" wrapText="1"/>
    </xf>
    <xf numFmtId="0" fontId="11" fillId="3" borderId="17" xfId="0"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0" fontId="11" fillId="3" borderId="19" xfId="0" applyFont="1" applyFill="1" applyBorder="1" applyAlignment="1" applyProtection="1">
      <alignment horizontal="left" vertical="center"/>
    </xf>
    <xf numFmtId="0" fontId="18" fillId="3" borderId="0" xfId="0" applyFont="1" applyFill="1" applyBorder="1" applyAlignment="1" applyProtection="1">
      <alignment horizontal="left" vertical="center" wrapText="1"/>
    </xf>
    <xf numFmtId="0" fontId="13" fillId="5" borderId="0" xfId="0" applyFont="1" applyFill="1" applyBorder="1" applyAlignment="1" applyProtection="1">
      <alignment horizontal="left" vertical="top" wrapText="1"/>
    </xf>
    <xf numFmtId="0" fontId="0" fillId="0" borderId="2" xfId="0" applyBorder="1" applyAlignment="1" applyProtection="1">
      <alignment horizontal="center"/>
    </xf>
    <xf numFmtId="0" fontId="0" fillId="0" borderId="7" xfId="0" applyBorder="1" applyAlignment="1" applyProtection="1">
      <alignment horizontal="center"/>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0" fillId="5" borderId="0" xfId="0" applyFill="1" applyBorder="1" applyAlignment="1" applyProtection="1">
      <alignment horizontal="left" wrapText="1"/>
    </xf>
    <xf numFmtId="0" fontId="11" fillId="5" borderId="84" xfId="0" applyFont="1" applyFill="1" applyBorder="1" applyAlignment="1" applyProtection="1">
      <alignment horizontal="right" vertical="center" wrapText="1"/>
    </xf>
    <xf numFmtId="0" fontId="11" fillId="5" borderId="0" xfId="0" applyFont="1" applyFill="1" applyBorder="1" applyAlignment="1" applyProtection="1">
      <alignment horizontal="right" vertical="center" wrapText="1"/>
    </xf>
    <xf numFmtId="0" fontId="18" fillId="5" borderId="0" xfId="0" applyFont="1" applyFill="1" applyBorder="1" applyAlignment="1" applyProtection="1">
      <alignment horizontal="left" vertical="center" wrapText="1"/>
    </xf>
    <xf numFmtId="0" fontId="18" fillId="5" borderId="0" xfId="0" applyFont="1" applyFill="1" applyAlignment="1" applyProtection="1">
      <alignment horizontal="left" vertical="center" wrapText="1"/>
    </xf>
    <xf numFmtId="0" fontId="27" fillId="3" borderId="0" xfId="0" applyFont="1" applyFill="1" applyBorder="1" applyAlignment="1" applyProtection="1">
      <alignment horizontal="left" vertical="top"/>
    </xf>
    <xf numFmtId="0" fontId="16" fillId="3" borderId="20" xfId="0" applyFont="1" applyFill="1" applyBorder="1" applyAlignment="1" applyProtection="1">
      <alignment horizontal="left" vertical="center" wrapText="1"/>
    </xf>
    <xf numFmtId="0" fontId="16" fillId="3" borderId="2"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164" fontId="15" fillId="5" borderId="9" xfId="0" applyNumberFormat="1" applyFont="1" applyFill="1" applyBorder="1" applyAlignment="1" applyProtection="1">
      <alignment horizontal="left" wrapText="1"/>
    </xf>
    <xf numFmtId="0" fontId="0" fillId="3" borderId="0"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164" fontId="15" fillId="5" borderId="0" xfId="0" applyNumberFormat="1" applyFont="1" applyFill="1" applyBorder="1" applyAlignment="1" applyProtection="1">
      <alignment horizontal="left" wrapText="1"/>
    </xf>
    <xf numFmtId="0" fontId="0" fillId="10" borderId="51" xfId="0" applyFill="1" applyBorder="1" applyAlignment="1">
      <alignment horizontal="center"/>
    </xf>
    <xf numFmtId="0" fontId="0" fillId="10" borderId="58" xfId="0" applyFill="1" applyBorder="1" applyAlignment="1">
      <alignment horizontal="center"/>
    </xf>
    <xf numFmtId="0" fontId="0" fillId="10" borderId="52" xfId="0" applyFill="1" applyBorder="1" applyAlignment="1">
      <alignment horizontal="center"/>
    </xf>
    <xf numFmtId="0" fontId="0" fillId="10" borderId="103" xfId="0" applyFill="1" applyBorder="1" applyAlignment="1">
      <alignment horizontal="center"/>
    </xf>
    <xf numFmtId="0" fontId="0" fillId="10" borderId="104" xfId="0" applyFill="1" applyBorder="1" applyAlignment="1">
      <alignment horizontal="center"/>
    </xf>
    <xf numFmtId="0" fontId="0" fillId="10" borderId="105" xfId="0" applyFill="1" applyBorder="1" applyAlignment="1">
      <alignment horizontal="center"/>
    </xf>
    <xf numFmtId="0" fontId="0" fillId="10" borderId="66" xfId="0" applyFill="1" applyBorder="1" applyAlignment="1">
      <alignment horizontal="center"/>
    </xf>
    <xf numFmtId="0" fontId="0" fillId="10" borderId="67" xfId="0" applyFill="1" applyBorder="1" applyAlignment="1">
      <alignment horizontal="center"/>
    </xf>
    <xf numFmtId="0" fontId="0" fillId="10" borderId="64" xfId="0" applyFill="1" applyBorder="1" applyAlignment="1">
      <alignment horizontal="center"/>
    </xf>
    <xf numFmtId="0" fontId="0" fillId="10" borderId="65" xfId="0" applyFill="1" applyBorder="1" applyAlignment="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5" xfId="0" applyBorder="1" applyAlignment="1" applyProtection="1">
      <alignment horizontal="center"/>
    </xf>
    <xf numFmtId="0" fontId="4" fillId="0" borderId="0" xfId="0" applyFont="1" applyBorder="1" applyAlignment="1" applyProtection="1">
      <alignment horizontal="center" vertical="center" wrapText="1"/>
    </xf>
    <xf numFmtId="0" fontId="0" fillId="5" borderId="84"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12" xfId="0" applyFill="1" applyBorder="1" applyAlignment="1" applyProtection="1">
      <alignment horizontal="left" vertical="center"/>
    </xf>
    <xf numFmtId="0" fontId="17" fillId="5" borderId="0" xfId="0" applyFont="1" applyFill="1" applyBorder="1" applyAlignment="1" applyProtection="1">
      <alignment horizontal="left" vertical="center" wrapText="1"/>
    </xf>
    <xf numFmtId="0" fontId="12" fillId="3" borderId="7" xfId="0" applyFont="1" applyFill="1" applyBorder="1" applyAlignment="1">
      <alignment horizontal="left" vertical="top" wrapText="1"/>
    </xf>
    <xf numFmtId="0" fontId="12" fillId="3" borderId="0" xfId="0" applyFont="1" applyFill="1" applyBorder="1" applyAlignment="1">
      <alignment horizontal="left" vertical="center" wrapText="1"/>
    </xf>
    <xf numFmtId="0" fontId="20" fillId="3" borderId="20" xfId="0" applyFont="1" applyFill="1" applyBorder="1" applyAlignment="1" applyProtection="1">
      <alignment horizontal="left" vertical="top" wrapText="1"/>
    </xf>
    <xf numFmtId="0" fontId="20" fillId="3" borderId="2" xfId="0" applyFont="1" applyFill="1" applyBorder="1" applyAlignment="1" applyProtection="1">
      <alignment horizontal="left" vertical="top" wrapText="1"/>
    </xf>
    <xf numFmtId="0" fontId="20" fillId="3" borderId="21" xfId="0" applyFont="1" applyFill="1" applyBorder="1" applyAlignment="1" applyProtection="1">
      <alignment horizontal="left" vertical="top" wrapText="1"/>
    </xf>
    <xf numFmtId="0" fontId="20" fillId="3" borderId="22"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23" xfId="0" applyFont="1" applyFill="1" applyBorder="1" applyAlignment="1" applyProtection="1">
      <alignment horizontal="left" vertical="top" wrapText="1"/>
    </xf>
    <xf numFmtId="0" fontId="20" fillId="3" borderId="24" xfId="0" applyFont="1" applyFill="1" applyBorder="1" applyAlignment="1" applyProtection="1">
      <alignment horizontal="left" vertical="top" wrapText="1"/>
    </xf>
    <xf numFmtId="0" fontId="20" fillId="3" borderId="25" xfId="0" applyFont="1" applyFill="1" applyBorder="1" applyAlignment="1" applyProtection="1">
      <alignment horizontal="left" vertical="top" wrapText="1"/>
    </xf>
    <xf numFmtId="0" fontId="20" fillId="3" borderId="26" xfId="0" applyFont="1" applyFill="1" applyBorder="1" applyAlignment="1" applyProtection="1">
      <alignment horizontal="left" vertical="top" wrapText="1"/>
    </xf>
    <xf numFmtId="0" fontId="0" fillId="10" borderId="53" xfId="0" applyFill="1" applyBorder="1" applyAlignment="1">
      <alignment horizontal="center"/>
    </xf>
    <xf numFmtId="0" fontId="0" fillId="10" borderId="85" xfId="0" applyFill="1" applyBorder="1" applyAlignment="1">
      <alignment horizontal="center"/>
    </xf>
    <xf numFmtId="0" fontId="0" fillId="10" borderId="54" xfId="0" applyFill="1" applyBorder="1" applyAlignment="1">
      <alignment horizontal="center"/>
    </xf>
  </cellXfs>
  <cellStyles count="5">
    <cellStyle name="Insatisfaisant" xfId="2" builtinId="27"/>
    <cellStyle name="Monétaire" xfId="1" builtinId="4"/>
    <cellStyle name="Monétaire 2" xfId="3" xr:uid="{E2242CA9-6B81-477A-B25F-66586CC8EAFE}"/>
    <cellStyle name="Normal" xfId="0" builtinId="0"/>
    <cellStyle name="Normal 2" xfId="4" xr:uid="{6E744054-C2F5-44BC-BFE6-54564DD5D496}"/>
  </cellStyles>
  <dxfs count="6">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CCFF"/>
      <color rgb="FFFFFFCC"/>
      <color rgb="FFFFFF99"/>
      <color rgb="FFC80000"/>
      <color rgb="FFEAEAEA"/>
      <color rgb="FFECECEC"/>
      <color rgb="FFD8F8C0"/>
      <color rgb="FF89CCCC"/>
      <color rgb="FFECECCB"/>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771525</xdr:colOff>
      <xdr:row>0</xdr:row>
      <xdr:rowOff>19050</xdr:rowOff>
    </xdr:from>
    <xdr:to>
      <xdr:col>20</xdr:col>
      <xdr:colOff>447675</xdr:colOff>
      <xdr:row>1</xdr:row>
      <xdr:rowOff>485775</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3124200" y="19050"/>
          <a:ext cx="6781800"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CA" sz="1100"/>
        </a:p>
      </xdr:txBody>
    </xdr:sp>
    <xdr:clientData/>
  </xdr:twoCellAnchor>
  <xdr:twoCellAnchor>
    <xdr:from>
      <xdr:col>0</xdr:col>
      <xdr:colOff>7621</xdr:colOff>
      <xdr:row>0</xdr:row>
      <xdr:rowOff>1</xdr:rowOff>
    </xdr:from>
    <xdr:to>
      <xdr:col>29</xdr:col>
      <xdr:colOff>123092</xdr:colOff>
      <xdr:row>1</xdr:row>
      <xdr:rowOff>495300</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7621" y="1"/>
          <a:ext cx="12907546" cy="1866899"/>
          <a:chOff x="1" y="1"/>
          <a:chExt cx="13072859" cy="1918961"/>
        </a:xfrm>
      </xdr:grpSpPr>
      <xdr:pic>
        <xdr:nvPicPr>
          <xdr:cNvPr id="9" name="Image 8" descr="BANDEAU pour EXCEL_V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rcRect r="452"/>
          <a:stretch>
            <a:fillRect/>
          </a:stretch>
        </xdr:blipFill>
        <xdr:spPr>
          <a:xfrm>
            <a:off x="1" y="1"/>
            <a:ext cx="13072859" cy="1918961"/>
          </a:xfrm>
          <a:prstGeom prst="rect">
            <a:avLst/>
          </a:prstGeom>
        </xdr:spPr>
      </xdr:pic>
      <xdr:sp macro="" textlink="">
        <xdr:nvSpPr>
          <xdr:cNvPr id="2" name="Rectangle 1">
            <a:extLst>
              <a:ext uri="{FF2B5EF4-FFF2-40B4-BE49-F238E27FC236}">
                <a16:creationId xmlns:a16="http://schemas.microsoft.com/office/drawing/2014/main" id="{00000000-0008-0000-0000-000002000000}"/>
              </a:ext>
            </a:extLst>
          </xdr:cNvPr>
          <xdr:cNvSpPr/>
        </xdr:nvSpPr>
        <xdr:spPr>
          <a:xfrm>
            <a:off x="7429687" y="1308538"/>
            <a:ext cx="120869" cy="45719"/>
          </a:xfrm>
          <a:prstGeom prst="rect">
            <a:avLst/>
          </a:prstGeom>
          <a:solidFill>
            <a:srgbClr val="D8F8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clientData/>
  </xdr:twoCellAnchor>
  <xdr:twoCellAnchor>
    <xdr:from>
      <xdr:col>24</xdr:col>
      <xdr:colOff>381001</xdr:colOff>
      <xdr:row>0</xdr:row>
      <xdr:rowOff>563217</xdr:rowOff>
    </xdr:from>
    <xdr:to>
      <xdr:col>25</xdr:col>
      <xdr:colOff>762001</xdr:colOff>
      <xdr:row>0</xdr:row>
      <xdr:rowOff>1134717</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862392" y="563217"/>
          <a:ext cx="1333500" cy="571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4000" b="1">
              <a:latin typeface="+mn-lt"/>
            </a:rPr>
            <a:t>2023</a:t>
          </a:r>
        </a:p>
        <a:p>
          <a:pPr algn="ctr"/>
          <a:endParaRPr lang="fr-CA" sz="40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28</xdr:col>
      <xdr:colOff>130736</xdr:colOff>
      <xdr:row>2</xdr:row>
      <xdr:rowOff>35660</xdr:rowOff>
    </xdr:to>
    <xdr:pic>
      <xdr:nvPicPr>
        <xdr:cNvPr id="3" name="Image 2" descr="BANDEAU_en_ pour EXCEL_V1.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0"/>
          <a:ext cx="13926111" cy="2083535"/>
        </a:xfrm>
        <a:prstGeom prst="rect">
          <a:avLst/>
        </a:prstGeom>
      </xdr:spPr>
    </xdr:pic>
    <xdr:clientData/>
  </xdr:twoCellAnchor>
  <xdr:twoCellAnchor>
    <xdr:from>
      <xdr:col>23</xdr:col>
      <xdr:colOff>400051</xdr:colOff>
      <xdr:row>0</xdr:row>
      <xdr:rowOff>628650</xdr:rowOff>
    </xdr:from>
    <xdr:to>
      <xdr:col>24</xdr:col>
      <xdr:colOff>866776</xdr:colOff>
      <xdr:row>0</xdr:row>
      <xdr:rowOff>1200150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9525001" y="628650"/>
          <a:ext cx="1333500" cy="571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4000" b="1">
              <a:latin typeface="+mn-lt"/>
            </a:rPr>
            <a:t>2023</a:t>
          </a:r>
        </a:p>
        <a:p>
          <a:pPr algn="ctr"/>
          <a:endParaRPr lang="fr-CA" sz="4000" b="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84070</xdr:colOff>
      <xdr:row>93</xdr:row>
      <xdr:rowOff>22193</xdr:rowOff>
    </xdr:from>
    <xdr:to>
      <xdr:col>28</xdr:col>
      <xdr:colOff>598714</xdr:colOff>
      <xdr:row>144</xdr:row>
      <xdr:rowOff>169317</xdr:rowOff>
    </xdr:to>
    <xdr:pic>
      <xdr:nvPicPr>
        <xdr:cNvPr id="12" name="Image 11">
          <a:extLst>
            <a:ext uri="{FF2B5EF4-FFF2-40B4-BE49-F238E27FC236}">
              <a16:creationId xmlns:a16="http://schemas.microsoft.com/office/drawing/2014/main" id="{4E879F03-C7DB-486A-8CD3-C96026A1785E}"/>
            </a:ext>
          </a:extLst>
        </xdr:cNvPr>
        <xdr:cNvPicPr>
          <a:picLocks noChangeAspect="1"/>
        </xdr:cNvPicPr>
      </xdr:nvPicPr>
      <xdr:blipFill>
        <a:blip xmlns:r="http://schemas.openxmlformats.org/officeDocument/2006/relationships" r:embed="rId1"/>
        <a:stretch>
          <a:fillRect/>
        </a:stretch>
      </xdr:blipFill>
      <xdr:spPr>
        <a:xfrm>
          <a:off x="11514070" y="17738693"/>
          <a:ext cx="10420644" cy="98626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el Légaré" id="{5C4E2BE7-20E0-4D56-A951-E4D129C77D61}" userId="S::Daniel.Legare@csn.qc.ca::90675d1d-d6b3-47d6-aba7-a2d1cecacb02"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1" dT="2022-09-14T20:05:38.36" personId="{5C4E2BE7-20E0-4D56-A951-E4D129C77D61}" id="{B028F132-4C2E-4520-B3E4-8206E88E59B2}">
    <text>POur retrouver la formule prendre la version 2021 du calculatueur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GW131"/>
  <sheetViews>
    <sheetView tabSelected="1" zoomScaleNormal="100" workbookViewId="0">
      <selection activeCell="U106" sqref="U106"/>
    </sheetView>
  </sheetViews>
  <sheetFormatPr baseColWidth="10" defaultColWidth="11.42578125" defaultRowHeight="15" x14ac:dyDescent="0.25"/>
  <cols>
    <col min="1" max="1" width="2" style="16" customWidth="1"/>
    <col min="2" max="2" width="4.28515625" style="16" customWidth="1"/>
    <col min="3" max="3" width="0.7109375" style="16" customWidth="1"/>
    <col min="4" max="4" width="4.28515625" style="16" customWidth="1"/>
    <col min="5" max="5" width="0.7109375" style="16" customWidth="1"/>
    <col min="6" max="6" width="7.140625" style="16" customWidth="1"/>
    <col min="7" max="7" width="2.7109375" style="16" customWidth="1"/>
    <col min="8" max="8" width="2.85546875" style="16" customWidth="1"/>
    <col min="9" max="9" width="4.85546875" style="16" customWidth="1"/>
    <col min="10" max="10" width="1.42578125" style="16" customWidth="1"/>
    <col min="11" max="11" width="2.85546875" style="16" customWidth="1"/>
    <col min="12" max="12" width="21.28515625" style="16" customWidth="1"/>
    <col min="13" max="13" width="6.7109375" style="16" customWidth="1"/>
    <col min="14" max="14" width="5.140625" style="16" customWidth="1"/>
    <col min="15" max="15" width="4.7109375" style="16" customWidth="1"/>
    <col min="16" max="16" width="5.7109375" style="16" customWidth="1"/>
    <col min="17" max="17" width="4.5703125" style="16" customWidth="1"/>
    <col min="18" max="18" width="0.7109375" style="16" customWidth="1"/>
    <col min="19" max="20" width="3.42578125" style="16" customWidth="1"/>
    <col min="21" max="21" width="4.5703125" style="16" customWidth="1"/>
    <col min="22" max="22" width="13.140625" style="16" customWidth="1"/>
    <col min="23" max="23" width="13.5703125" style="16" customWidth="1"/>
    <col min="24" max="24" width="9" style="16" customWidth="1"/>
    <col min="25" max="25" width="14.28515625" style="16" customWidth="1"/>
    <col min="26" max="26" width="14.28515625" style="15" customWidth="1"/>
    <col min="27" max="27" width="10" style="15" customWidth="1"/>
    <col min="28" max="28" width="9.140625" style="15" customWidth="1"/>
    <col min="29" max="29" width="14.28515625" style="15" customWidth="1"/>
    <col min="30" max="30" width="2" style="15" customWidth="1"/>
    <col min="31" max="200" width="11.42578125" style="15"/>
    <col min="201" max="16384" width="11.42578125" style="16"/>
  </cols>
  <sheetData>
    <row r="1" spans="1:205" ht="108" customHeight="1" x14ac:dyDescent="0.25">
      <c r="A1" s="13"/>
      <c r="B1" s="686"/>
      <c r="C1" s="14"/>
      <c r="D1" s="688"/>
      <c r="E1" s="688"/>
      <c r="F1" s="688"/>
      <c r="G1" s="688"/>
      <c r="H1" s="688"/>
      <c r="I1" s="688"/>
      <c r="J1" s="688"/>
      <c r="K1" s="688"/>
      <c r="L1" s="688"/>
      <c r="M1" s="688"/>
      <c r="N1" s="688"/>
      <c r="O1" s="688"/>
      <c r="P1" s="688"/>
      <c r="Q1" s="688"/>
      <c r="R1" s="688"/>
      <c r="S1" s="688"/>
      <c r="T1" s="688"/>
      <c r="U1" s="688"/>
      <c r="V1" s="686"/>
      <c r="W1" s="686"/>
      <c r="X1" s="686"/>
      <c r="Y1" s="686"/>
      <c r="Z1" s="524"/>
      <c r="AA1" s="524"/>
      <c r="AB1" s="524"/>
      <c r="AC1" s="524"/>
      <c r="AD1" s="527"/>
      <c r="AE1" s="551" t="s">
        <v>321</v>
      </c>
    </row>
    <row r="2" spans="1:205" ht="39.6" customHeight="1" x14ac:dyDescent="0.25">
      <c r="A2" s="17"/>
      <c r="B2" s="687"/>
      <c r="C2" s="18"/>
      <c r="D2" s="689"/>
      <c r="E2" s="689"/>
      <c r="F2" s="689"/>
      <c r="G2" s="689"/>
      <c r="H2" s="689"/>
      <c r="I2" s="689"/>
      <c r="J2" s="689"/>
      <c r="K2" s="689"/>
      <c r="L2" s="689"/>
      <c r="M2" s="689"/>
      <c r="N2" s="689"/>
      <c r="O2" s="689"/>
      <c r="P2" s="689"/>
      <c r="Q2" s="689"/>
      <c r="R2" s="689"/>
      <c r="S2" s="689"/>
      <c r="T2" s="689"/>
      <c r="U2" s="689"/>
      <c r="V2" s="687"/>
      <c r="W2" s="687"/>
      <c r="X2" s="687"/>
      <c r="Y2" s="687"/>
      <c r="Z2" s="528"/>
      <c r="AA2" s="528"/>
      <c r="AB2" s="528"/>
      <c r="AC2" s="528"/>
      <c r="AD2" s="529"/>
    </row>
    <row r="3" spans="1:205" ht="29.45" customHeight="1" thickBot="1" x14ac:dyDescent="0.4">
      <c r="A3" s="281"/>
      <c r="B3" s="282" t="s">
        <v>0</v>
      </c>
      <c r="C3" s="282"/>
      <c r="D3" s="282"/>
      <c r="E3" s="282"/>
      <c r="F3" s="283"/>
      <c r="G3" s="283"/>
      <c r="H3" s="283"/>
      <c r="I3" s="283"/>
      <c r="J3" s="283"/>
      <c r="K3" s="283"/>
      <c r="L3" s="283"/>
      <c r="M3" s="283"/>
      <c r="N3" s="283"/>
      <c r="O3" s="283"/>
      <c r="P3" s="283"/>
      <c r="Q3" s="532" t="str">
        <f>IF(I4&gt;=65,IF(COUNTBLANK(Q4:U4)&lt;3,"Il ne peut y avoir qu'un seul choix de réponse",IF(COUNTBLANK(Q4:U4)=4,"Inscrivez un X dans la case appropriée","")),"")</f>
        <v/>
      </c>
      <c r="R3" s="283"/>
      <c r="S3" s="530"/>
      <c r="T3" s="530"/>
      <c r="U3" s="530"/>
      <c r="V3" s="283"/>
      <c r="W3" s="283"/>
      <c r="X3" s="283"/>
      <c r="Y3" s="283"/>
      <c r="Z3" s="283"/>
      <c r="AA3" s="283"/>
      <c r="AB3" s="283"/>
      <c r="AC3" s="283"/>
      <c r="AD3" s="284"/>
      <c r="AE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row>
    <row r="4" spans="1:205" ht="28.15" customHeight="1" thickBot="1" x14ac:dyDescent="0.4">
      <c r="A4" s="421"/>
      <c r="B4" s="292"/>
      <c r="C4" s="416"/>
      <c r="D4" s="417"/>
      <c r="E4" s="429"/>
      <c r="F4" s="292"/>
      <c r="G4" s="292"/>
      <c r="H4" s="522" t="s">
        <v>309</v>
      </c>
      <c r="I4" s="548"/>
      <c r="J4" s="521" t="s">
        <v>310</v>
      </c>
      <c r="K4" s="523"/>
      <c r="L4" s="691" t="str">
        <f>IF(I4&gt;=65,"Êtes-vous inscrit à la RAMQ : ","")</f>
        <v/>
      </c>
      <c r="M4" s="692"/>
      <c r="N4" s="692"/>
      <c r="O4" s="692"/>
      <c r="P4" s="692"/>
      <c r="Q4" s="526"/>
      <c r="R4" s="519" t="str">
        <f>IF(I4&gt;=65,"Oui","")</f>
        <v/>
      </c>
      <c r="S4" s="531"/>
      <c r="T4" s="292"/>
      <c r="U4" s="526"/>
      <c r="V4" s="519" t="str">
        <f>IF(I4&gt;=65,"Non","")</f>
        <v/>
      </c>
      <c r="W4" s="292"/>
      <c r="X4" s="292"/>
      <c r="Y4" s="292"/>
      <c r="Z4" s="292"/>
      <c r="AA4" s="292"/>
      <c r="AB4" s="292"/>
      <c r="AC4" s="292"/>
      <c r="AD4" s="288"/>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row>
    <row r="5" spans="1:205" ht="4.9000000000000004" customHeight="1" x14ac:dyDescent="0.35">
      <c r="A5" s="429"/>
      <c r="B5" s="292"/>
      <c r="C5" s="416"/>
      <c r="D5" s="417"/>
      <c r="E5" s="429"/>
      <c r="F5" s="292"/>
      <c r="G5" s="292"/>
      <c r="H5" s="522"/>
      <c r="I5" s="397"/>
      <c r="J5" s="419"/>
      <c r="K5" s="429"/>
      <c r="L5" s="530"/>
      <c r="M5" s="530"/>
      <c r="N5" s="530"/>
      <c r="O5" s="530"/>
      <c r="P5" s="530"/>
      <c r="Q5" s="397"/>
      <c r="R5" s="519"/>
      <c r="S5" s="525"/>
      <c r="T5" s="525"/>
      <c r="U5" s="532"/>
      <c r="V5" s="532"/>
      <c r="W5" s="409"/>
      <c r="X5" s="430"/>
      <c r="Y5" s="519"/>
      <c r="Z5" s="533"/>
      <c r="AA5" s="292"/>
      <c r="AB5" s="292"/>
      <c r="AC5" s="292"/>
      <c r="AD5" s="288"/>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row>
    <row r="6" spans="1:205" ht="15" customHeight="1" x14ac:dyDescent="0.35">
      <c r="A6" s="292"/>
      <c r="B6" s="292"/>
      <c r="C6" s="292"/>
      <c r="D6" s="292"/>
      <c r="E6" s="292"/>
      <c r="F6" s="292"/>
      <c r="G6" s="292"/>
      <c r="H6" s="292"/>
      <c r="I6" s="292"/>
      <c r="J6" s="292"/>
      <c r="K6" s="292"/>
      <c r="L6" s="530"/>
      <c r="M6" s="530"/>
      <c r="N6" s="530"/>
      <c r="O6" s="530"/>
      <c r="P6" s="530"/>
      <c r="Q6" s="535" t="str">
        <f>IF(I4&gt;=65,"",IF(AND(I4&lt;65,U4="",Q4=""),"","Effacer le contenu des cellules ci-dessus"))</f>
        <v/>
      </c>
      <c r="R6" s="292"/>
      <c r="S6" s="292"/>
      <c r="T6" s="292"/>
      <c r="U6" s="292"/>
      <c r="V6" s="292"/>
      <c r="W6" s="292"/>
      <c r="X6" s="430"/>
      <c r="Y6" s="416"/>
      <c r="Z6" s="429"/>
      <c r="AA6" s="292"/>
      <c r="AB6" s="292"/>
      <c r="AC6" s="292"/>
      <c r="AD6" s="288"/>
      <c r="GS6" s="15"/>
      <c r="GT6" s="15"/>
      <c r="GU6" s="15"/>
      <c r="GV6" s="15"/>
      <c r="GW6" s="15"/>
    </row>
    <row r="7" spans="1:205" ht="30" hidden="1" customHeight="1" x14ac:dyDescent="0.35">
      <c r="A7" s="292"/>
      <c r="B7" s="292"/>
      <c r="C7" s="292"/>
      <c r="D7" s="292"/>
      <c r="E7" s="292"/>
      <c r="F7" s="292"/>
      <c r="G7" s="292"/>
      <c r="H7" s="292"/>
      <c r="I7" s="292"/>
      <c r="J7" s="292"/>
      <c r="K7" s="292"/>
      <c r="L7" s="530"/>
      <c r="M7" s="534"/>
      <c r="N7" s="534"/>
      <c r="O7" s="534"/>
      <c r="P7" s="534"/>
      <c r="Q7" s="292"/>
      <c r="R7" s="292"/>
      <c r="S7" s="292"/>
      <c r="T7" s="292"/>
      <c r="U7" s="292"/>
      <c r="V7" s="292"/>
      <c r="W7" s="292"/>
      <c r="X7" s="430"/>
      <c r="Y7" s="416"/>
      <c r="Z7" s="429"/>
      <c r="AA7" s="292"/>
      <c r="AB7" s="292"/>
      <c r="AC7" s="292"/>
      <c r="AD7" s="288"/>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row>
    <row r="8" spans="1:205" ht="30" customHeight="1" thickBot="1" x14ac:dyDescent="0.3">
      <c r="A8" s="22"/>
      <c r="B8" s="690" t="s">
        <v>115</v>
      </c>
      <c r="C8" s="690"/>
      <c r="D8" s="690"/>
      <c r="E8" s="690"/>
      <c r="F8" s="690"/>
      <c r="G8" s="690"/>
      <c r="H8" s="690"/>
      <c r="I8" s="690"/>
      <c r="J8" s="690"/>
      <c r="K8" s="690"/>
      <c r="L8" s="690"/>
      <c r="M8" s="690"/>
      <c r="N8" s="23"/>
      <c r="O8" s="23"/>
      <c r="P8" s="23"/>
      <c r="Q8" s="638" t="s">
        <v>76</v>
      </c>
      <c r="R8" s="23"/>
      <c r="S8" s="23"/>
      <c r="T8" s="429"/>
      <c r="U8" s="23"/>
      <c r="V8" s="23"/>
      <c r="W8" s="429"/>
      <c r="X8" s="292"/>
      <c r="Y8" s="292"/>
      <c r="Z8" s="430"/>
      <c r="AA8" s="23"/>
      <c r="AB8" s="24"/>
      <c r="AC8" s="24"/>
      <c r="AD8" s="288"/>
      <c r="GS8" s="15"/>
      <c r="GT8" s="15"/>
      <c r="GU8" s="15"/>
    </row>
    <row r="9" spans="1:205" ht="30" customHeight="1" thickBot="1" x14ac:dyDescent="0.4">
      <c r="A9" s="22"/>
      <c r="B9" s="135"/>
      <c r="C9" s="26"/>
      <c r="D9" s="658" t="str">
        <f>Taux!B3</f>
        <v>Protection de base (module A)</v>
      </c>
      <c r="E9" s="659"/>
      <c r="F9" s="659"/>
      <c r="G9" s="659"/>
      <c r="H9" s="659"/>
      <c r="I9" s="659"/>
      <c r="J9" s="659"/>
      <c r="K9" s="659"/>
      <c r="L9" s="660"/>
      <c r="M9" s="693" t="str">
        <f>IF(COUNTBLANK(B9:B15)&lt;6,"Il ne peut y avoir qu'un seul choix de réponse",IF(COUNTBLANK(B9:B15)=7,"Vous devez faire un choix de protection",""))</f>
        <v>Vous devez faire un choix de protection</v>
      </c>
      <c r="N9" s="693"/>
      <c r="O9" s="693"/>
      <c r="P9" s="23"/>
      <c r="Q9" s="135"/>
      <c r="R9" s="28"/>
      <c r="S9" s="658" t="str">
        <f>Taux!C3</f>
        <v>Individuel</v>
      </c>
      <c r="T9" s="659"/>
      <c r="U9" s="659"/>
      <c r="V9" s="660"/>
      <c r="W9" s="694" t="str">
        <f>IF(AND(B15="X",OR(COUNTIF(Q9:Q15,"X")=0,COUNTIF(Q9:Q15,"X")=1)),"",IF(COUNTIF(Q9:Q15,"X")&gt;1,"Il ne peut y avoir qu'un seul choix de réponse",IF(COUNTBLANK(Q9:Q15)=7,"Vous devez faire un choix de protection","")))</f>
        <v>Vous devez faire un choix de protection</v>
      </c>
      <c r="X9" s="694"/>
      <c r="Y9" s="519"/>
      <c r="Z9" s="430"/>
      <c r="AA9" s="30"/>
      <c r="AB9" s="24"/>
      <c r="AC9" s="24"/>
      <c r="AD9" s="288"/>
      <c r="GS9" s="15"/>
      <c r="GT9" s="15"/>
      <c r="GU9" s="15"/>
      <c r="GV9" s="15"/>
      <c r="GW9" s="15"/>
    </row>
    <row r="10" spans="1:205" ht="3.75" customHeight="1" thickBot="1" x14ac:dyDescent="0.4">
      <c r="A10" s="22"/>
      <c r="B10" s="26"/>
      <c r="C10" s="26"/>
      <c r="D10" s="27"/>
      <c r="E10" s="27"/>
      <c r="F10" s="27"/>
      <c r="G10" s="27"/>
      <c r="H10" s="27"/>
      <c r="I10" s="27"/>
      <c r="J10" s="27"/>
      <c r="K10" s="27"/>
      <c r="L10" s="27"/>
      <c r="M10" s="693"/>
      <c r="N10" s="693"/>
      <c r="O10" s="693"/>
      <c r="P10" s="23"/>
      <c r="Q10" s="27"/>
      <c r="R10" s="28"/>
      <c r="S10" s="27"/>
      <c r="T10" s="417"/>
      <c r="U10" s="27"/>
      <c r="V10" s="27"/>
      <c r="W10" s="694"/>
      <c r="X10" s="694"/>
      <c r="Y10" s="292"/>
      <c r="Z10" s="430"/>
      <c r="AA10" s="30"/>
      <c r="AB10" s="24"/>
      <c r="AC10" s="24"/>
      <c r="AD10" s="288"/>
      <c r="GS10" s="15"/>
      <c r="GT10" s="15"/>
      <c r="GU10" s="15"/>
      <c r="GV10" s="15"/>
      <c r="GW10" s="15"/>
    </row>
    <row r="11" spans="1:205" ht="30" customHeight="1" thickBot="1" x14ac:dyDescent="0.4">
      <c r="A11" s="22"/>
      <c r="B11" s="135"/>
      <c r="C11" s="26"/>
      <c r="D11" s="658" t="str">
        <f>Taux!B4</f>
        <v>Protection régulière (module B)</v>
      </c>
      <c r="E11" s="659"/>
      <c r="F11" s="659"/>
      <c r="G11" s="659"/>
      <c r="H11" s="659"/>
      <c r="I11" s="659"/>
      <c r="J11" s="659"/>
      <c r="K11" s="659"/>
      <c r="L11" s="660"/>
      <c r="M11" s="693"/>
      <c r="N11" s="693"/>
      <c r="O11" s="693"/>
      <c r="P11" s="23"/>
      <c r="Q11" s="135"/>
      <c r="R11" s="28"/>
      <c r="S11" s="658" t="str">
        <f>Taux!C4</f>
        <v>Monoparental</v>
      </c>
      <c r="T11" s="659"/>
      <c r="U11" s="659"/>
      <c r="V11" s="660"/>
      <c r="W11" s="694"/>
      <c r="X11" s="694"/>
      <c r="Y11" s="292"/>
      <c r="Z11" s="30"/>
      <c r="AA11" s="287"/>
      <c r="AB11" s="294" t="s">
        <v>292</v>
      </c>
      <c r="AC11" s="439">
        <f>IF(AND(W9="",M9="",Q3=""),Taux!F22,0)</f>
        <v>0</v>
      </c>
      <c r="AD11" s="288"/>
      <c r="GS11" s="15"/>
      <c r="GT11" s="15"/>
      <c r="GU11" s="15"/>
      <c r="GV11" s="15"/>
      <c r="GW11" s="15"/>
    </row>
    <row r="12" spans="1:205" ht="3.75" customHeight="1" thickBot="1" x14ac:dyDescent="0.4">
      <c r="A12" s="22"/>
      <c r="B12" s="26"/>
      <c r="C12" s="26"/>
      <c r="D12" s="27"/>
      <c r="E12" s="27"/>
      <c r="F12" s="27"/>
      <c r="G12" s="27"/>
      <c r="H12" s="27"/>
      <c r="I12" s="27"/>
      <c r="J12" s="27"/>
      <c r="K12" s="27"/>
      <c r="L12" s="27"/>
      <c r="M12" s="693"/>
      <c r="N12" s="693"/>
      <c r="O12" s="693"/>
      <c r="P12" s="23"/>
      <c r="Q12" s="27"/>
      <c r="R12" s="28"/>
      <c r="S12" s="27"/>
      <c r="T12" s="417"/>
      <c r="U12" s="27"/>
      <c r="V12" s="27"/>
      <c r="W12" s="694"/>
      <c r="X12" s="694"/>
      <c r="Y12" s="292"/>
      <c r="Z12" s="30"/>
      <c r="AA12" s="429"/>
      <c r="AB12" s="429"/>
      <c r="AC12" s="292"/>
      <c r="AD12" s="288"/>
      <c r="GS12" s="15"/>
      <c r="GT12" s="15"/>
      <c r="GU12" s="15"/>
      <c r="GV12" s="15"/>
      <c r="GW12" s="15"/>
    </row>
    <row r="13" spans="1:205" ht="30" customHeight="1" thickBot="1" x14ac:dyDescent="0.4">
      <c r="A13" s="22"/>
      <c r="B13" s="135"/>
      <c r="C13" s="26"/>
      <c r="D13" s="658" t="str">
        <f>Taux!B5</f>
        <v>Protection enrichie (module C)</v>
      </c>
      <c r="E13" s="659"/>
      <c r="F13" s="659"/>
      <c r="G13" s="659"/>
      <c r="H13" s="659"/>
      <c r="I13" s="659"/>
      <c r="J13" s="659"/>
      <c r="K13" s="659"/>
      <c r="L13" s="660"/>
      <c r="M13" s="693"/>
      <c r="N13" s="693"/>
      <c r="O13" s="693"/>
      <c r="P13" s="23"/>
      <c r="Q13" s="135"/>
      <c r="R13" s="28"/>
      <c r="S13" s="658" t="str">
        <f>Taux!C5</f>
        <v>Familial</v>
      </c>
      <c r="T13" s="659"/>
      <c r="U13" s="659"/>
      <c r="V13" s="660"/>
      <c r="W13" s="694"/>
      <c r="X13" s="694"/>
      <c r="Y13" s="292"/>
      <c r="Z13" s="30"/>
      <c r="AA13" s="422"/>
      <c r="AB13" s="294" t="s">
        <v>290</v>
      </c>
      <c r="AC13" s="439">
        <f>26*AC11</f>
        <v>0</v>
      </c>
      <c r="AD13" s="288"/>
      <c r="GS13" s="15"/>
      <c r="GT13" s="15"/>
      <c r="GU13" s="15"/>
      <c r="GV13" s="15"/>
      <c r="GW13" s="15"/>
    </row>
    <row r="14" spans="1:205" ht="3.75" customHeight="1" thickBot="1" x14ac:dyDescent="0.4">
      <c r="A14" s="22"/>
      <c r="B14" s="26"/>
      <c r="C14" s="26"/>
      <c r="D14" s="27"/>
      <c r="E14" s="27"/>
      <c r="F14" s="27"/>
      <c r="G14" s="27"/>
      <c r="H14" s="27"/>
      <c r="I14" s="27"/>
      <c r="J14" s="27"/>
      <c r="K14" s="27"/>
      <c r="L14" s="27"/>
      <c r="M14" s="693"/>
      <c r="N14" s="693"/>
      <c r="O14" s="693"/>
      <c r="P14" s="23"/>
      <c r="Q14" s="27"/>
      <c r="R14" s="28"/>
      <c r="S14" s="27"/>
      <c r="T14" s="417"/>
      <c r="U14" s="27"/>
      <c r="V14" s="27"/>
      <c r="W14" s="694"/>
      <c r="X14" s="694"/>
      <c r="Y14" s="292"/>
      <c r="Z14" s="30"/>
      <c r="AA14" s="292"/>
      <c r="AB14" s="294"/>
      <c r="AC14" s="287"/>
      <c r="AD14" s="288"/>
      <c r="GS14" s="15"/>
      <c r="GT14" s="15"/>
      <c r="GU14" s="15"/>
      <c r="GV14" s="15"/>
      <c r="GW14" s="15"/>
    </row>
    <row r="15" spans="1:205" ht="30" customHeight="1" thickBot="1" x14ac:dyDescent="0.4">
      <c r="A15" s="22"/>
      <c r="B15" s="135"/>
      <c r="C15" s="26"/>
      <c r="D15" s="658" t="str">
        <f>Taux!B6</f>
        <v>Je suis couvert par l'assurance de mon conjoint</v>
      </c>
      <c r="E15" s="659"/>
      <c r="F15" s="659"/>
      <c r="G15" s="659"/>
      <c r="H15" s="659"/>
      <c r="I15" s="659"/>
      <c r="J15" s="659"/>
      <c r="K15" s="659"/>
      <c r="L15" s="660"/>
      <c r="M15" s="693"/>
      <c r="N15" s="693"/>
      <c r="O15" s="693"/>
      <c r="P15" s="23"/>
      <c r="Q15" s="135"/>
      <c r="R15" s="28"/>
      <c r="S15" s="658" t="str">
        <f>Taux!C6</f>
        <v>Couple</v>
      </c>
      <c r="T15" s="659"/>
      <c r="U15" s="659"/>
      <c r="V15" s="660"/>
      <c r="W15" s="694"/>
      <c r="X15" s="694"/>
      <c r="Y15" s="430"/>
      <c r="Z15" s="30"/>
      <c r="AA15" s="422"/>
      <c r="AB15" s="294"/>
      <c r="AC15" s="577" t="str">
        <f xml:space="preserve"> IF(AC11&gt;0,"Ce cout n'inclut pas la taxe de vente de 9 %","")</f>
        <v/>
      </c>
      <c r="AD15" s="288"/>
      <c r="AF15" s="134"/>
      <c r="GS15" s="15"/>
      <c r="GT15" s="15"/>
      <c r="GU15" s="15"/>
      <c r="GV15" s="15"/>
      <c r="GW15" s="15"/>
    </row>
    <row r="16" spans="1:205" ht="12.6" customHeight="1" x14ac:dyDescent="0.35">
      <c r="A16" s="22"/>
      <c r="B16" s="26"/>
      <c r="C16" s="26"/>
      <c r="D16" s="292"/>
      <c r="E16" s="292"/>
      <c r="F16" s="292"/>
      <c r="G16" s="292"/>
      <c r="H16" s="292"/>
      <c r="I16" s="292"/>
      <c r="J16" s="292"/>
      <c r="K16" s="292"/>
      <c r="L16" s="292"/>
      <c r="M16" s="23"/>
      <c r="N16" s="23"/>
      <c r="O16" s="23"/>
      <c r="P16" s="23"/>
      <c r="Q16" s="29"/>
      <c r="R16" s="32"/>
      <c r="S16" s="28"/>
      <c r="T16" s="430"/>
      <c r="U16" s="28"/>
      <c r="V16" s="28"/>
      <c r="W16" s="28"/>
      <c r="X16" s="28"/>
      <c r="Y16" s="28"/>
      <c r="Z16" s="30"/>
      <c r="AA16" s="30"/>
      <c r="AB16" s="33"/>
      <c r="AC16" s="24"/>
      <c r="AD16" s="288"/>
      <c r="GS16" s="15"/>
      <c r="GT16" s="15"/>
      <c r="GU16" s="15"/>
      <c r="GV16" s="15"/>
      <c r="GW16" s="15"/>
    </row>
    <row r="17" spans="1:205" ht="21" x14ac:dyDescent="0.35">
      <c r="A17" s="34"/>
      <c r="B17" s="35" t="s">
        <v>3</v>
      </c>
      <c r="C17" s="35"/>
      <c r="D17" s="36"/>
      <c r="E17" s="36"/>
      <c r="F17" s="36"/>
      <c r="G17" s="36"/>
      <c r="H17" s="36"/>
      <c r="I17" s="36"/>
      <c r="J17" s="36"/>
      <c r="K17" s="36"/>
      <c r="L17" s="36"/>
      <c r="M17" s="36"/>
      <c r="N17" s="36"/>
      <c r="O17" s="36"/>
      <c r="P17" s="36"/>
      <c r="Q17" s="36"/>
      <c r="R17" s="36"/>
      <c r="S17" s="36"/>
      <c r="T17" s="300"/>
      <c r="U17" s="36"/>
      <c r="V17" s="36"/>
      <c r="W17" s="36"/>
      <c r="X17" s="36"/>
      <c r="Y17" s="36"/>
      <c r="Z17" s="37"/>
      <c r="AA17" s="37"/>
      <c r="AB17" s="37"/>
      <c r="AC17" s="37"/>
      <c r="AD17" s="302"/>
      <c r="GS17" s="15"/>
      <c r="GT17" s="15"/>
      <c r="GU17" s="15"/>
      <c r="GV17" s="15"/>
      <c r="GW17" s="15"/>
    </row>
    <row r="18" spans="1:205" ht="30" customHeight="1" thickBot="1" x14ac:dyDescent="0.4">
      <c r="A18" s="39"/>
      <c r="B18" s="41" t="s">
        <v>89</v>
      </c>
      <c r="C18" s="40"/>
      <c r="D18" s="41"/>
      <c r="E18" s="42"/>
      <c r="F18" s="42"/>
      <c r="G18" s="42"/>
      <c r="H18" s="42"/>
      <c r="I18" s="42"/>
      <c r="J18" s="42"/>
      <c r="K18" s="42"/>
      <c r="L18" s="42"/>
      <c r="M18" s="42"/>
      <c r="N18" s="42"/>
      <c r="O18" s="42"/>
      <c r="P18" s="42"/>
      <c r="Q18" s="42"/>
      <c r="R18" s="42"/>
      <c r="S18" s="637" t="s">
        <v>87</v>
      </c>
      <c r="T18" s="306"/>
      <c r="U18" s="42"/>
      <c r="V18" s="42"/>
      <c r="W18" s="42"/>
      <c r="X18" s="42"/>
      <c r="Y18" s="42"/>
      <c r="Z18" s="43"/>
      <c r="AA18" s="43"/>
      <c r="AB18" s="43"/>
      <c r="AC18" s="43"/>
      <c r="AD18" s="44"/>
      <c r="GS18" s="15"/>
      <c r="GT18" s="15"/>
      <c r="GU18" s="15"/>
      <c r="GV18" s="15"/>
      <c r="GW18" s="15"/>
    </row>
    <row r="19" spans="1:205" ht="30" customHeight="1" thickBot="1" x14ac:dyDescent="0.4">
      <c r="A19" s="39"/>
      <c r="B19" s="135"/>
      <c r="C19" s="45"/>
      <c r="D19" s="681" t="str">
        <f>Taux!L3</f>
        <v>Aucune option</v>
      </c>
      <c r="E19" s="682"/>
      <c r="F19" s="682"/>
      <c r="G19" s="682"/>
      <c r="H19" s="682"/>
      <c r="I19" s="682"/>
      <c r="J19" s="682"/>
      <c r="K19" s="682"/>
      <c r="L19" s="683"/>
      <c r="M19" s="684" t="str">
        <f>IF(COUNTBLANK(B19:B23)&lt;4,"Il ne peut y avoir qu'un seul choix de réponse",IF(COUNTBLANK(B19:B23)=5,"Vous devez faire un choix de  protection",""))</f>
        <v>Vous devez faire un choix de  protection</v>
      </c>
      <c r="N19" s="684"/>
      <c r="O19" s="684"/>
      <c r="P19" s="42"/>
      <c r="Q19" s="42"/>
      <c r="R19" s="42"/>
      <c r="S19" s="675" t="str">
        <f>IF(B19="X","",Taux!C9)</f>
        <v/>
      </c>
      <c r="T19" s="676"/>
      <c r="U19" s="676"/>
      <c r="V19" s="677"/>
      <c r="W19" s="695" t="str">
        <f>IF(OR(AND(B15="X",COUNTIF(Q9:Q15,"X")&gt;0,COUNTIF(B21:B23,"X")&gt;0),B19="X",COUNTIF(B19:B23,"X")=0,AND(COUNTIF(B9:B13,"X")&gt;0,COUNTIF(Q9:Q15,"X")&gt;0,COUNTIF(B21:B23,"X")&gt;0)),"","Choisir une protection dans la section assurance maladie")</f>
        <v/>
      </c>
      <c r="X19" s="695"/>
      <c r="Y19" s="695"/>
      <c r="Z19" s="695"/>
      <c r="AA19" s="695"/>
      <c r="AB19" s="695"/>
      <c r="AC19" s="43"/>
      <c r="AD19" s="44"/>
      <c r="AF19" s="134"/>
      <c r="GS19" s="15"/>
      <c r="GT19" s="15"/>
      <c r="GU19" s="15"/>
      <c r="GV19" s="15"/>
      <c r="GW19" s="15"/>
    </row>
    <row r="20" spans="1:205" ht="3.75" customHeight="1" thickBot="1" x14ac:dyDescent="0.4">
      <c r="A20" s="39"/>
      <c r="B20" s="45"/>
      <c r="C20" s="45"/>
      <c r="D20" s="46"/>
      <c r="E20" s="46"/>
      <c r="F20" s="46"/>
      <c r="G20" s="46"/>
      <c r="H20" s="46"/>
      <c r="I20" s="46"/>
      <c r="J20" s="46"/>
      <c r="K20" s="46"/>
      <c r="L20" s="46"/>
      <c r="M20" s="684"/>
      <c r="N20" s="684"/>
      <c r="O20" s="684"/>
      <c r="P20" s="42"/>
      <c r="Q20" s="42"/>
      <c r="R20" s="47"/>
      <c r="S20" s="47"/>
      <c r="T20" s="311"/>
      <c r="U20" s="48"/>
      <c r="V20" s="48"/>
      <c r="W20" s="695"/>
      <c r="X20" s="695"/>
      <c r="Y20" s="695"/>
      <c r="Z20" s="695"/>
      <c r="AA20" s="695"/>
      <c r="AB20" s="695"/>
      <c r="AC20" s="43"/>
      <c r="AD20" s="44"/>
      <c r="GS20" s="15"/>
      <c r="GT20" s="15"/>
      <c r="GU20" s="15"/>
      <c r="GV20" s="15"/>
      <c r="GW20" s="15"/>
    </row>
    <row r="21" spans="1:205" ht="30" customHeight="1" thickBot="1" x14ac:dyDescent="0.4">
      <c r="A21" s="39"/>
      <c r="B21" s="135"/>
      <c r="C21" s="45"/>
      <c r="D21" s="681" t="str">
        <f>Taux!L4</f>
        <v>Protection de base (Option 1)</v>
      </c>
      <c r="E21" s="682"/>
      <c r="F21" s="682"/>
      <c r="G21" s="682"/>
      <c r="H21" s="682"/>
      <c r="I21" s="682"/>
      <c r="J21" s="682"/>
      <c r="K21" s="682"/>
      <c r="L21" s="683"/>
      <c r="M21" s="684"/>
      <c r="N21" s="684"/>
      <c r="O21" s="684"/>
      <c r="P21" s="42"/>
      <c r="Q21" s="42"/>
      <c r="R21" s="42"/>
      <c r="S21" s="42"/>
      <c r="T21" s="306"/>
      <c r="U21" s="48"/>
      <c r="V21" s="48"/>
      <c r="W21" s="695"/>
      <c r="X21" s="695"/>
      <c r="Y21" s="695"/>
      <c r="Z21" s="695"/>
      <c r="AA21" s="695"/>
      <c r="AB21" s="695"/>
      <c r="AC21" s="43"/>
      <c r="AD21" s="44"/>
      <c r="GS21" s="15"/>
      <c r="GT21" s="15"/>
      <c r="GU21" s="15"/>
      <c r="GV21" s="15"/>
      <c r="GW21" s="15"/>
    </row>
    <row r="22" spans="1:205" ht="3.75" customHeight="1" thickBot="1" x14ac:dyDescent="0.4">
      <c r="A22" s="39"/>
      <c r="B22" s="45"/>
      <c r="C22" s="45"/>
      <c r="D22" s="46"/>
      <c r="E22" s="46"/>
      <c r="F22" s="46"/>
      <c r="G22" s="46"/>
      <c r="H22" s="46"/>
      <c r="I22" s="46"/>
      <c r="J22" s="46"/>
      <c r="K22" s="46"/>
      <c r="L22" s="46"/>
      <c r="M22" s="684"/>
      <c r="N22" s="684"/>
      <c r="O22" s="684"/>
      <c r="P22" s="42"/>
      <c r="Q22" s="42"/>
      <c r="R22" s="42"/>
      <c r="S22" s="42"/>
      <c r="T22" s="306"/>
      <c r="U22" s="48"/>
      <c r="V22" s="48"/>
      <c r="W22" s="42"/>
      <c r="X22" s="42"/>
      <c r="Y22" s="42"/>
      <c r="Z22" s="43"/>
      <c r="AA22" s="43"/>
      <c r="AB22" s="43"/>
      <c r="AC22" s="43"/>
      <c r="AD22" s="44"/>
      <c r="GS22" s="15"/>
      <c r="GT22" s="15"/>
      <c r="GU22" s="15"/>
      <c r="GV22" s="15"/>
      <c r="GW22" s="15"/>
    </row>
    <row r="23" spans="1:205" ht="30" customHeight="1" thickBot="1" x14ac:dyDescent="0.4">
      <c r="A23" s="39"/>
      <c r="B23" s="135"/>
      <c r="C23" s="45"/>
      <c r="D23" s="681" t="str">
        <f>Taux!L5</f>
        <v>Protection enrichie (Option 2)</v>
      </c>
      <c r="E23" s="682"/>
      <c r="F23" s="682"/>
      <c r="G23" s="682"/>
      <c r="H23" s="682"/>
      <c r="I23" s="682"/>
      <c r="J23" s="682"/>
      <c r="K23" s="682"/>
      <c r="L23" s="683"/>
      <c r="M23" s="684"/>
      <c r="N23" s="684"/>
      <c r="O23" s="684"/>
      <c r="P23" s="42"/>
      <c r="Q23" s="42"/>
      <c r="R23" s="42"/>
      <c r="S23" s="42"/>
      <c r="T23" s="306"/>
      <c r="U23" s="48"/>
      <c r="V23" s="48"/>
      <c r="W23" s="42"/>
      <c r="X23" s="42"/>
      <c r="Y23" s="42"/>
      <c r="Z23" s="43"/>
      <c r="AA23" s="43"/>
      <c r="AB23" s="49" t="s">
        <v>292</v>
      </c>
      <c r="AC23" s="440">
        <f>IF(AND(M19="",W9="",W19=""),Taux!O11,0)</f>
        <v>0</v>
      </c>
      <c r="AD23" s="44"/>
      <c r="AF23" s="134"/>
      <c r="GS23" s="15"/>
      <c r="GT23" s="15"/>
      <c r="GU23" s="15"/>
      <c r="GV23" s="15"/>
      <c r="GW23" s="15"/>
    </row>
    <row r="24" spans="1:205" ht="3.75" customHeight="1" thickBot="1" x14ac:dyDescent="0.4">
      <c r="A24" s="39"/>
      <c r="B24" s="45"/>
      <c r="C24" s="45"/>
      <c r="D24" s="46"/>
      <c r="E24" s="46"/>
      <c r="F24" s="46"/>
      <c r="G24" s="46"/>
      <c r="H24" s="46"/>
      <c r="I24" s="46"/>
      <c r="J24" s="46"/>
      <c r="K24" s="46"/>
      <c r="L24" s="46"/>
      <c r="M24" s="42"/>
      <c r="N24" s="42"/>
      <c r="O24" s="42"/>
      <c r="P24" s="42"/>
      <c r="Q24" s="42"/>
      <c r="R24" s="42"/>
      <c r="S24" s="42"/>
      <c r="T24" s="306"/>
      <c r="U24" s="48"/>
      <c r="V24" s="48"/>
      <c r="W24" s="42"/>
      <c r="X24" s="42"/>
      <c r="Y24" s="42"/>
      <c r="Z24" s="43"/>
      <c r="AA24" s="43"/>
      <c r="AB24" s="49"/>
      <c r="AC24" s="138"/>
      <c r="AD24" s="44"/>
      <c r="GS24" s="15"/>
      <c r="GT24" s="15"/>
      <c r="GU24" s="15"/>
      <c r="GV24" s="15"/>
      <c r="GW24" s="15"/>
    </row>
    <row r="25" spans="1:205" ht="30" customHeight="1" thickBot="1" x14ac:dyDescent="0.3">
      <c r="A25" s="39"/>
      <c r="B25" s="42"/>
      <c r="C25" s="42"/>
      <c r="D25" s="680" t="str">
        <f>IF(COUNTIF(B9:B13,"X")&gt;0,"",IF(AND(B15="",COUNTIF(B21:B23,"X")&gt;0),"Afin de bénéficier uniquement de la couverture en soins dentaires, vous devez être couvert par votre conjoint en assurance maladie",""))</f>
        <v/>
      </c>
      <c r="E25" s="680"/>
      <c r="F25" s="680"/>
      <c r="G25" s="680"/>
      <c r="H25" s="680"/>
      <c r="I25" s="680"/>
      <c r="J25" s="680"/>
      <c r="K25" s="680"/>
      <c r="L25" s="680"/>
      <c r="M25" s="680"/>
      <c r="N25" s="680"/>
      <c r="O25" s="680"/>
      <c r="P25" s="680"/>
      <c r="Q25" s="680"/>
      <c r="R25" s="42"/>
      <c r="S25" s="42"/>
      <c r="T25" s="306"/>
      <c r="U25" s="42"/>
      <c r="V25" s="42"/>
      <c r="W25" s="42"/>
      <c r="X25" s="42"/>
      <c r="Y25" s="42"/>
      <c r="Z25" s="43"/>
      <c r="AA25" s="43"/>
      <c r="AB25" s="49" t="s">
        <v>290</v>
      </c>
      <c r="AC25" s="440">
        <f>26*AC23</f>
        <v>0</v>
      </c>
      <c r="AD25" s="44"/>
      <c r="GS25" s="15"/>
      <c r="GT25" s="15"/>
      <c r="GU25" s="15"/>
      <c r="GV25" s="15"/>
      <c r="GW25" s="15"/>
    </row>
    <row r="26" spans="1:205" ht="30" customHeight="1" x14ac:dyDescent="0.25">
      <c r="A26" s="39"/>
      <c r="B26" s="42"/>
      <c r="C26" s="42"/>
      <c r="D26" s="51"/>
      <c r="E26" s="51"/>
      <c r="F26" s="51"/>
      <c r="G26" s="51"/>
      <c r="H26" s="51"/>
      <c r="I26" s="51"/>
      <c r="J26" s="51"/>
      <c r="K26" s="51"/>
      <c r="L26" s="51"/>
      <c r="M26" s="51"/>
      <c r="N26" s="51"/>
      <c r="O26" s="51"/>
      <c r="P26" s="51"/>
      <c r="Q26" s="51"/>
      <c r="R26" s="42"/>
      <c r="S26" s="42"/>
      <c r="T26" s="306"/>
      <c r="U26" s="42"/>
      <c r="V26" s="42"/>
      <c r="W26" s="42"/>
      <c r="X26" s="42"/>
      <c r="Y26" s="42"/>
      <c r="Z26" s="43"/>
      <c r="AA26" s="307"/>
      <c r="AB26" s="49"/>
      <c r="AC26" s="578" t="str">
        <f xml:space="preserve"> IF(AC23&gt;0,"Ce cout n'inclut pas la taxe de vente de 9 %","")</f>
        <v/>
      </c>
      <c r="AD26" s="44"/>
      <c r="GS26" s="15"/>
      <c r="GT26" s="15"/>
      <c r="GU26" s="15"/>
      <c r="GV26" s="15"/>
      <c r="GW26" s="15"/>
    </row>
    <row r="27" spans="1:205" ht="3" customHeight="1" x14ac:dyDescent="0.25">
      <c r="A27" s="53"/>
      <c r="B27" s="54"/>
      <c r="C27" s="54"/>
      <c r="D27" s="54"/>
      <c r="E27" s="54"/>
      <c r="F27" s="54"/>
      <c r="G27" s="54"/>
      <c r="H27" s="54"/>
      <c r="I27" s="54"/>
      <c r="J27" s="54"/>
      <c r="K27" s="54"/>
      <c r="L27" s="54"/>
      <c r="M27" s="54"/>
      <c r="N27" s="54"/>
      <c r="O27" s="54"/>
      <c r="P27" s="54"/>
      <c r="Q27" s="54"/>
      <c r="R27" s="54"/>
      <c r="S27" s="54"/>
      <c r="T27" s="317"/>
      <c r="U27" s="54"/>
      <c r="V27" s="54"/>
      <c r="W27" s="54"/>
      <c r="X27" s="54"/>
      <c r="Y27" s="54"/>
      <c r="Z27" s="55"/>
      <c r="AA27" s="55" t="str">
        <f xml:space="preserve"> IF(AC19&gt;0,"Ce cout n'inclut pas la taxe de 9%","")</f>
        <v/>
      </c>
      <c r="AB27" s="55"/>
      <c r="AC27" s="55"/>
      <c r="AD27" s="56"/>
      <c r="GS27" s="15"/>
      <c r="GT27" s="15"/>
      <c r="GU27" s="15"/>
      <c r="GV27" s="15"/>
      <c r="GW27" s="15"/>
    </row>
    <row r="28" spans="1:205" ht="3.75" customHeight="1" x14ac:dyDescent="0.25">
      <c r="A28" s="19"/>
      <c r="B28" s="20"/>
      <c r="C28" s="20"/>
      <c r="D28" s="20"/>
      <c r="E28" s="20"/>
      <c r="F28" s="20"/>
      <c r="G28" s="20"/>
      <c r="H28" s="20"/>
      <c r="I28" s="20"/>
      <c r="J28" s="20"/>
      <c r="K28" s="20"/>
      <c r="L28" s="20"/>
      <c r="M28" s="20"/>
      <c r="N28" s="20"/>
      <c r="O28" s="20"/>
      <c r="P28" s="20"/>
      <c r="Q28" s="20"/>
      <c r="R28" s="20"/>
      <c r="S28" s="20"/>
      <c r="T28" s="283"/>
      <c r="U28" s="20"/>
      <c r="V28" s="20"/>
      <c r="W28" s="20"/>
      <c r="X28" s="20"/>
      <c r="Y28" s="20"/>
      <c r="Z28" s="57"/>
      <c r="AA28" s="57"/>
      <c r="AB28" s="57"/>
      <c r="AC28" s="57"/>
      <c r="AD28" s="21"/>
      <c r="GS28" s="15"/>
      <c r="GT28" s="15"/>
      <c r="GU28" s="15"/>
      <c r="GV28" s="15"/>
      <c r="GW28" s="15"/>
    </row>
    <row r="29" spans="1:205" ht="30" customHeight="1" thickBot="1" x14ac:dyDescent="0.4">
      <c r="A29" s="22"/>
      <c r="B29" s="58" t="s">
        <v>1</v>
      </c>
      <c r="C29" s="58"/>
      <c r="D29" s="23"/>
      <c r="E29" s="23"/>
      <c r="F29" s="59"/>
      <c r="G29" s="59"/>
      <c r="H29" s="59"/>
      <c r="I29" s="59"/>
      <c r="J29" s="59"/>
      <c r="K29" s="23"/>
      <c r="L29" s="23"/>
      <c r="M29" s="23"/>
      <c r="N29" s="422"/>
      <c r="O29" s="422"/>
      <c r="P29" s="422"/>
      <c r="Q29" s="422"/>
      <c r="R29" s="422"/>
      <c r="S29" s="422"/>
      <c r="T29" s="422"/>
      <c r="U29" s="422"/>
      <c r="V29" s="422"/>
      <c r="W29" s="23"/>
      <c r="X29" s="23"/>
      <c r="Y29" s="23"/>
      <c r="Z29" s="30"/>
      <c r="AA29" s="30"/>
      <c r="AB29" s="30"/>
      <c r="AC29" s="30"/>
      <c r="AD29" s="25"/>
      <c r="GS29" s="15"/>
      <c r="GT29" s="15"/>
      <c r="GU29" s="15"/>
      <c r="GV29" s="15"/>
      <c r="GW29" s="15"/>
    </row>
    <row r="30" spans="1:205" ht="30" customHeight="1" thickBot="1" x14ac:dyDescent="0.3">
      <c r="A30" s="22"/>
      <c r="B30" s="685" t="s">
        <v>23</v>
      </c>
      <c r="C30" s="685"/>
      <c r="D30" s="685"/>
      <c r="E30" s="685"/>
      <c r="F30" s="685"/>
      <c r="G30" s="685"/>
      <c r="H30" s="685"/>
      <c r="I30" s="685"/>
      <c r="J30" s="685"/>
      <c r="K30" s="685"/>
      <c r="L30" s="685"/>
      <c r="M30" s="685"/>
      <c r="N30" s="670" t="s">
        <v>376</v>
      </c>
      <c r="O30" s="670"/>
      <c r="P30" s="670"/>
      <c r="Q30" s="670"/>
      <c r="R30" s="670"/>
      <c r="S30" s="670"/>
      <c r="T30" s="670"/>
      <c r="U30" s="671"/>
      <c r="V30" s="441">
        <f>IF(COUNTBLANK(B34:B42)=8,Taux!G27,0)</f>
        <v>0</v>
      </c>
      <c r="W30" s="23"/>
      <c r="X30" s="23"/>
      <c r="Y30" s="23"/>
      <c r="Z30" s="30"/>
      <c r="AA30" s="30"/>
      <c r="AB30" s="30"/>
      <c r="AC30" s="30"/>
      <c r="AD30" s="25"/>
      <c r="GS30" s="15"/>
      <c r="GT30" s="15"/>
      <c r="GU30" s="15"/>
      <c r="GV30" s="15"/>
      <c r="GW30" s="15"/>
    </row>
    <row r="31" spans="1:205" ht="30" customHeight="1" x14ac:dyDescent="0.25">
      <c r="A31" s="22"/>
      <c r="B31" s="60" t="s">
        <v>116</v>
      </c>
      <c r="C31" s="60"/>
      <c r="D31" s="23"/>
      <c r="E31" s="23"/>
      <c r="F31" s="23"/>
      <c r="G31" s="23"/>
      <c r="H31" s="23"/>
      <c r="I31" s="23"/>
      <c r="J31" s="23"/>
      <c r="K31" s="23"/>
      <c r="L31" s="23"/>
      <c r="M31" s="23"/>
      <c r="N31" s="23"/>
      <c r="O31" s="23"/>
      <c r="P31" s="30"/>
      <c r="Q31" s="30"/>
      <c r="R31" s="30"/>
      <c r="S31" s="30"/>
      <c r="T31" s="422"/>
      <c r="U31" s="61"/>
      <c r="V31" s="62"/>
      <c r="W31" s="30"/>
      <c r="X31" s="23"/>
      <c r="Y31" s="23"/>
      <c r="Z31" s="30"/>
      <c r="AA31" s="30"/>
      <c r="AB31" s="30"/>
      <c r="AC31" s="30"/>
      <c r="AD31" s="25"/>
      <c r="GS31" s="15"/>
      <c r="GT31" s="15"/>
      <c r="GU31" s="15"/>
      <c r="GV31" s="15"/>
      <c r="GW31" s="15"/>
    </row>
    <row r="32" spans="1:205" ht="15" hidden="1" customHeight="1" x14ac:dyDescent="0.25">
      <c r="A32" s="22"/>
      <c r="B32" s="422"/>
      <c r="C32" s="422"/>
      <c r="D32" s="422"/>
      <c r="E32" s="422"/>
      <c r="F32" s="422"/>
      <c r="G32" s="422"/>
      <c r="H32" s="422"/>
      <c r="I32" s="422"/>
      <c r="J32" s="422"/>
      <c r="K32" s="422"/>
      <c r="L32" s="422"/>
      <c r="M32" s="422"/>
      <c r="N32" s="422"/>
      <c r="O32" s="23"/>
      <c r="P32" s="30"/>
      <c r="Q32" s="30"/>
      <c r="R32" s="30"/>
      <c r="S32" s="30"/>
      <c r="T32" s="422"/>
      <c r="U32" s="61"/>
      <c r="V32" s="429"/>
      <c r="W32" s="429"/>
      <c r="X32" s="23"/>
      <c r="Y32" s="23"/>
      <c r="Z32" s="30"/>
      <c r="AA32" s="30"/>
      <c r="AB32" s="30"/>
      <c r="AC32" s="30"/>
      <c r="AD32" s="25"/>
      <c r="GS32" s="15"/>
      <c r="GT32" s="15"/>
      <c r="GU32" s="15"/>
      <c r="GV32" s="15"/>
      <c r="GW32" s="15"/>
    </row>
    <row r="33" spans="1:205" ht="3.6" customHeight="1" thickBot="1" x14ac:dyDescent="0.3">
      <c r="A33" s="22"/>
      <c r="B33" s="503"/>
      <c r="C33" s="418"/>
      <c r="D33" s="429"/>
      <c r="E33" s="429"/>
      <c r="F33" s="429"/>
      <c r="G33" s="429"/>
      <c r="H33" s="429"/>
      <c r="I33" s="429"/>
      <c r="J33" s="429"/>
      <c r="K33" s="429"/>
      <c r="L33" s="429"/>
      <c r="M33" s="429"/>
      <c r="N33" s="429"/>
      <c r="O33" s="23"/>
      <c r="P33" s="30"/>
      <c r="Q33" s="30"/>
      <c r="R33" s="30"/>
      <c r="S33" s="30"/>
      <c r="T33" s="422"/>
      <c r="U33" s="61"/>
      <c r="V33" s="62"/>
      <c r="W33" s="30"/>
      <c r="X33" s="23"/>
      <c r="Y33" s="23"/>
      <c r="Z33" s="30"/>
      <c r="AA33" s="30"/>
      <c r="AB33" s="30"/>
      <c r="AC33" s="30"/>
      <c r="AD33" s="25"/>
      <c r="GS33" s="15"/>
      <c r="GT33" s="15"/>
      <c r="GU33" s="15"/>
      <c r="GV33" s="15"/>
      <c r="GW33" s="15"/>
    </row>
    <row r="34" spans="1:205" ht="30" customHeight="1" thickBot="1" x14ac:dyDescent="0.3">
      <c r="A34" s="22"/>
      <c r="B34" s="420"/>
      <c r="C34" s="292"/>
      <c r="D34" s="658" t="str">
        <f>Taux!B31</f>
        <v>De l'Université Laval</v>
      </c>
      <c r="E34" s="659"/>
      <c r="F34" s="659"/>
      <c r="G34" s="659"/>
      <c r="H34" s="659"/>
      <c r="I34" s="659"/>
      <c r="J34" s="659"/>
      <c r="K34" s="659"/>
      <c r="L34" s="659"/>
      <c r="M34" s="659"/>
      <c r="N34" s="660"/>
      <c r="O34" s="422"/>
      <c r="P34" s="517"/>
      <c r="Q34" s="517"/>
      <c r="R34" s="30"/>
      <c r="S34" s="30"/>
      <c r="T34" s="422"/>
      <c r="U34" s="80" t="s">
        <v>306</v>
      </c>
      <c r="V34" s="268"/>
      <c r="W34" s="422"/>
      <c r="X34" s="30"/>
      <c r="Y34" s="30"/>
      <c r="Z34" s="30"/>
      <c r="AA34" s="30"/>
      <c r="AB34" s="30"/>
      <c r="AC34" s="30"/>
      <c r="AD34" s="25"/>
      <c r="GS34" s="15"/>
      <c r="GT34" s="15"/>
      <c r="GU34" s="15"/>
      <c r="GV34" s="15"/>
      <c r="GW34" s="15"/>
    </row>
    <row r="35" spans="1:205" ht="3.6" customHeight="1" thickBot="1" x14ac:dyDescent="0.3">
      <c r="A35" s="22"/>
      <c r="B35" s="292"/>
      <c r="C35" s="292"/>
      <c r="D35" s="418"/>
      <c r="E35" s="418"/>
      <c r="F35" s="429"/>
      <c r="G35" s="429"/>
      <c r="H35" s="429"/>
      <c r="I35" s="429"/>
      <c r="J35" s="429"/>
      <c r="K35" s="429"/>
      <c r="L35" s="429"/>
      <c r="M35" s="429"/>
      <c r="N35" s="422"/>
      <c r="O35" s="517"/>
      <c r="P35" s="517"/>
      <c r="Q35" s="517"/>
      <c r="R35" s="30"/>
      <c r="S35" s="30"/>
      <c r="T35" s="422"/>
      <c r="U35" s="30"/>
      <c r="V35" s="30"/>
      <c r="W35" s="30"/>
      <c r="X35" s="30"/>
      <c r="Y35" s="30"/>
      <c r="Z35" s="30"/>
      <c r="AA35" s="30"/>
      <c r="AB35" s="30"/>
      <c r="AC35" s="30"/>
      <c r="AD35" s="25"/>
      <c r="GS35" s="15"/>
      <c r="GT35" s="15"/>
      <c r="GU35" s="15"/>
      <c r="GV35" s="15"/>
      <c r="GW35" s="15"/>
    </row>
    <row r="36" spans="1:205" ht="26.25" customHeight="1" thickBot="1" x14ac:dyDescent="0.3">
      <c r="A36" s="22"/>
      <c r="B36" s="420"/>
      <c r="C36" s="292"/>
      <c r="D36" s="658" t="str">
        <f>Taux!B32</f>
        <v>Du collège LaSalle</v>
      </c>
      <c r="E36" s="659"/>
      <c r="F36" s="659"/>
      <c r="G36" s="659"/>
      <c r="H36" s="659"/>
      <c r="I36" s="659"/>
      <c r="J36" s="659"/>
      <c r="K36" s="659"/>
      <c r="L36" s="659"/>
      <c r="M36" s="659"/>
      <c r="N36" s="660"/>
      <c r="O36" s="674" t="str">
        <f>IF(COUNTBLANK(B34:B42)&lt;8,"Il ne peut y avoir qu'un seul choix de réponse",IF(COUNTBLANK(B34:B42)=9,"Vous devez faire un choix de réponse",""))</f>
        <v>Vous devez faire un choix de réponse</v>
      </c>
      <c r="P36" s="674"/>
      <c r="Q36" s="674"/>
      <c r="R36" s="30"/>
      <c r="S36" s="30"/>
      <c r="T36" s="422"/>
      <c r="U36" s="30"/>
      <c r="V36" s="30"/>
      <c r="W36" s="30"/>
      <c r="X36" s="30"/>
      <c r="Y36" s="30"/>
      <c r="Z36" s="30"/>
      <c r="AA36" s="30"/>
      <c r="AB36" s="31" t="s">
        <v>292</v>
      </c>
      <c r="AC36" s="442">
        <f>IF(O36="",ROUND(V34/1000*V30,2),0)</f>
        <v>0</v>
      </c>
      <c r="AD36" s="25"/>
      <c r="GS36" s="15"/>
      <c r="GT36" s="15"/>
      <c r="GU36" s="15"/>
      <c r="GV36" s="15"/>
      <c r="GW36" s="15"/>
    </row>
    <row r="37" spans="1:205" ht="3.75" customHeight="1" thickBot="1" x14ac:dyDescent="0.3">
      <c r="A37" s="22"/>
      <c r="B37" s="292"/>
      <c r="C37" s="292"/>
      <c r="D37" s="418"/>
      <c r="E37" s="418"/>
      <c r="F37" s="429"/>
      <c r="G37" s="429"/>
      <c r="H37" s="429"/>
      <c r="I37" s="429"/>
      <c r="J37" s="429"/>
      <c r="K37" s="429"/>
      <c r="L37" s="429"/>
      <c r="M37" s="429"/>
      <c r="N37" s="422"/>
      <c r="O37" s="674"/>
      <c r="P37" s="674"/>
      <c r="Q37" s="674"/>
      <c r="R37" s="30"/>
      <c r="S37" s="30"/>
      <c r="T37" s="422"/>
      <c r="U37" s="30"/>
      <c r="V37" s="30"/>
      <c r="W37" s="30"/>
      <c r="X37" s="30"/>
      <c r="Y37" s="30"/>
      <c r="Z37" s="30"/>
      <c r="AA37" s="30"/>
      <c r="AB37" s="30"/>
      <c r="AC37" s="30"/>
      <c r="AD37" s="25"/>
      <c r="GS37" s="15"/>
      <c r="GT37" s="15"/>
      <c r="GU37" s="15"/>
      <c r="GV37" s="15"/>
      <c r="GW37" s="15"/>
    </row>
    <row r="38" spans="1:205" ht="30" customHeight="1" thickBot="1" x14ac:dyDescent="0.3">
      <c r="A38" s="22"/>
      <c r="B38" s="420"/>
      <c r="C38" s="292"/>
      <c r="D38" s="658" t="str">
        <f>Taux!B33</f>
        <v>Du collège Trinité</v>
      </c>
      <c r="E38" s="659"/>
      <c r="F38" s="659"/>
      <c r="G38" s="659"/>
      <c r="H38" s="659"/>
      <c r="I38" s="659"/>
      <c r="J38" s="659"/>
      <c r="K38" s="659"/>
      <c r="L38" s="659"/>
      <c r="M38" s="659"/>
      <c r="N38" s="660"/>
      <c r="O38" s="674"/>
      <c r="P38" s="674"/>
      <c r="Q38" s="674"/>
      <c r="R38" s="30"/>
      <c r="S38" s="30"/>
      <c r="T38" s="422"/>
      <c r="U38" s="30" t="s">
        <v>101</v>
      </c>
      <c r="V38" s="30"/>
      <c r="W38" s="30"/>
      <c r="X38" s="30"/>
      <c r="Y38" s="30"/>
      <c r="Z38" s="30"/>
      <c r="AA38" s="422"/>
      <c r="AB38" s="436" t="s">
        <v>290</v>
      </c>
      <c r="AC38" s="442">
        <f>AC36*26</f>
        <v>0</v>
      </c>
      <c r="AD38" s="25"/>
      <c r="GS38" s="15"/>
      <c r="GT38" s="15"/>
      <c r="GU38" s="15"/>
      <c r="GV38" s="15"/>
      <c r="GW38" s="15"/>
    </row>
    <row r="39" spans="1:205" ht="3.75" customHeight="1" thickBot="1" x14ac:dyDescent="0.3">
      <c r="A39" s="421"/>
      <c r="B39" s="292"/>
      <c r="C39" s="292"/>
      <c r="D39" s="418"/>
      <c r="E39" s="418"/>
      <c r="F39" s="429"/>
      <c r="G39" s="429"/>
      <c r="H39" s="429"/>
      <c r="I39" s="429"/>
      <c r="J39" s="429"/>
      <c r="K39" s="429"/>
      <c r="L39" s="429"/>
      <c r="M39" s="429"/>
      <c r="N39" s="422"/>
      <c r="O39" s="674"/>
      <c r="P39" s="674"/>
      <c r="Q39" s="674"/>
      <c r="R39" s="422"/>
      <c r="S39" s="422"/>
      <c r="T39" s="422"/>
      <c r="U39" s="422"/>
      <c r="V39" s="422"/>
      <c r="W39" s="422"/>
      <c r="X39" s="422"/>
      <c r="Y39" s="422"/>
      <c r="Z39" s="422"/>
      <c r="AA39" s="422"/>
      <c r="AB39" s="422"/>
      <c r="AC39" s="422"/>
      <c r="AD39" s="288"/>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row>
    <row r="40" spans="1:205" ht="31.5" customHeight="1" thickBot="1" x14ac:dyDescent="0.3">
      <c r="A40" s="421"/>
      <c r="B40" s="420"/>
      <c r="C40" s="292"/>
      <c r="D40" s="658" t="str">
        <f>Taux!B34</f>
        <v>De l'ITHQ ou de l'ITAQ</v>
      </c>
      <c r="E40" s="659"/>
      <c r="F40" s="659"/>
      <c r="G40" s="659"/>
      <c r="H40" s="659"/>
      <c r="I40" s="659"/>
      <c r="J40" s="659"/>
      <c r="K40" s="659"/>
      <c r="L40" s="659"/>
      <c r="M40" s="659"/>
      <c r="N40" s="660"/>
      <c r="O40" s="674"/>
      <c r="P40" s="674"/>
      <c r="Q40" s="674"/>
      <c r="R40" s="422"/>
      <c r="S40" s="422"/>
      <c r="T40" s="422"/>
      <c r="U40" s="422" t="s">
        <v>101</v>
      </c>
      <c r="V40" s="422"/>
      <c r="W40" s="422"/>
      <c r="X40" s="422"/>
      <c r="Y40" s="422"/>
      <c r="Z40" s="422"/>
      <c r="AA40" s="422"/>
      <c r="AB40" s="422"/>
      <c r="AC40" s="577" t="str">
        <f xml:space="preserve"> IF(AC36&gt;0,"Ce cout n'inclut pas la taxe de ente de 9 %","")</f>
        <v/>
      </c>
      <c r="AD40" s="288"/>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280"/>
      <c r="GQ40" s="280"/>
      <c r="GR40" s="280"/>
      <c r="GS40" s="280"/>
      <c r="GT40" s="280"/>
      <c r="GU40" s="280"/>
      <c r="GV40" s="280"/>
      <c r="GW40" s="280"/>
    </row>
    <row r="41" spans="1:205" ht="3.75" customHeight="1" thickBot="1" x14ac:dyDescent="0.3">
      <c r="A41" s="22"/>
      <c r="B41" s="29"/>
      <c r="C41" s="29"/>
      <c r="D41" s="60"/>
      <c r="E41" s="60"/>
      <c r="F41" s="23"/>
      <c r="G41" s="23"/>
      <c r="H41" s="23"/>
      <c r="I41" s="23"/>
      <c r="J41" s="23"/>
      <c r="K41" s="23"/>
      <c r="L41" s="23"/>
      <c r="M41" s="23"/>
      <c r="N41" s="30"/>
      <c r="O41" s="517"/>
      <c r="P41" s="517"/>
      <c r="Q41" s="517"/>
      <c r="R41" s="30"/>
      <c r="S41" s="30"/>
      <c r="T41" s="422"/>
      <c r="U41" s="30"/>
      <c r="V41" s="30"/>
      <c r="W41" s="30"/>
      <c r="X41" s="30"/>
      <c r="Y41" s="30"/>
      <c r="Z41" s="30"/>
      <c r="AA41" s="30"/>
      <c r="AB41" s="30"/>
      <c r="AC41" s="30"/>
      <c r="AD41" s="25"/>
      <c r="GS41" s="15"/>
      <c r="GT41" s="15"/>
      <c r="GU41" s="15"/>
      <c r="GV41" s="15"/>
      <c r="GW41" s="15"/>
    </row>
    <row r="42" spans="1:205" ht="25.5" customHeight="1" thickBot="1" x14ac:dyDescent="0.3">
      <c r="A42" s="421"/>
      <c r="B42" s="420"/>
      <c r="C42" s="292"/>
      <c r="D42" s="658" t="str">
        <f>Taux!B35</f>
        <v>D'un autre collège ou d'une autre université</v>
      </c>
      <c r="E42" s="659"/>
      <c r="F42" s="659"/>
      <c r="G42" s="659"/>
      <c r="H42" s="659"/>
      <c r="I42" s="659"/>
      <c r="J42" s="659"/>
      <c r="K42" s="659"/>
      <c r="L42" s="659"/>
      <c r="M42" s="659"/>
      <c r="N42" s="660"/>
      <c r="O42" s="517"/>
      <c r="P42" s="517"/>
      <c r="Q42" s="517"/>
      <c r="R42" s="422"/>
      <c r="S42" s="422"/>
      <c r="T42" s="422"/>
      <c r="U42" s="422"/>
      <c r="V42" s="422"/>
      <c r="W42" s="422"/>
      <c r="X42" s="422"/>
      <c r="Y42" s="422"/>
      <c r="Z42" s="422"/>
      <c r="AA42" s="422"/>
      <c r="AB42" s="422"/>
      <c r="AC42" s="422"/>
      <c r="AD42" s="288"/>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c r="FP42" s="280"/>
      <c r="FQ42" s="280"/>
      <c r="FR42" s="280"/>
      <c r="FS42" s="280"/>
      <c r="FT42" s="280"/>
      <c r="FU42" s="280"/>
      <c r="FV42" s="280"/>
      <c r="FW42" s="280"/>
      <c r="FX42" s="280"/>
      <c r="FY42" s="280"/>
      <c r="FZ42" s="280"/>
      <c r="GA42" s="280"/>
      <c r="GB42" s="280"/>
      <c r="GC42" s="280"/>
      <c r="GD42" s="280"/>
      <c r="GE42" s="280"/>
      <c r="GF42" s="280"/>
      <c r="GG42" s="280"/>
      <c r="GH42" s="280"/>
      <c r="GI42" s="280"/>
      <c r="GJ42" s="280"/>
      <c r="GK42" s="280"/>
      <c r="GL42" s="280"/>
      <c r="GM42" s="280"/>
      <c r="GN42" s="280"/>
      <c r="GO42" s="280"/>
      <c r="GP42" s="280"/>
      <c r="GQ42" s="280"/>
      <c r="GR42" s="280"/>
      <c r="GS42" s="280"/>
      <c r="GT42" s="280"/>
      <c r="GU42" s="280"/>
      <c r="GV42" s="280"/>
      <c r="GW42" s="280"/>
    </row>
    <row r="43" spans="1:205" ht="3.75" customHeight="1" x14ac:dyDescent="0.25">
      <c r="A43" s="421"/>
      <c r="B43" s="292"/>
      <c r="C43" s="292"/>
      <c r="D43" s="418"/>
      <c r="E43" s="418"/>
      <c r="F43" s="429"/>
      <c r="G43" s="429"/>
      <c r="H43" s="429"/>
      <c r="I43" s="429"/>
      <c r="J43" s="429"/>
      <c r="K43" s="429"/>
      <c r="L43" s="429"/>
      <c r="M43" s="429"/>
      <c r="N43" s="422"/>
      <c r="O43" s="517"/>
      <c r="P43" s="517"/>
      <c r="Q43" s="517"/>
      <c r="R43" s="422"/>
      <c r="S43" s="422"/>
      <c r="T43" s="422"/>
      <c r="U43" s="422"/>
      <c r="V43" s="422"/>
      <c r="W43" s="422"/>
      <c r="X43" s="422"/>
      <c r="Y43" s="422"/>
      <c r="Z43" s="422"/>
      <c r="AA43" s="422"/>
      <c r="AB43" s="422"/>
      <c r="AC43" s="422"/>
      <c r="AD43" s="288"/>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c r="FU43" s="280"/>
      <c r="FV43" s="280"/>
      <c r="FW43" s="280"/>
      <c r="FX43" s="280"/>
      <c r="FY43" s="280"/>
      <c r="FZ43" s="280"/>
      <c r="GA43" s="280"/>
      <c r="GB43" s="280"/>
      <c r="GC43" s="280"/>
      <c r="GD43" s="280"/>
      <c r="GE43" s="280"/>
      <c r="GF43" s="280"/>
      <c r="GG43" s="280"/>
      <c r="GH43" s="280"/>
      <c r="GI43" s="280"/>
      <c r="GJ43" s="280"/>
      <c r="GK43" s="280"/>
      <c r="GL43" s="280"/>
      <c r="GM43" s="280"/>
      <c r="GN43" s="280"/>
      <c r="GO43" s="280"/>
      <c r="GP43" s="280"/>
      <c r="GQ43" s="280"/>
      <c r="GR43" s="280"/>
      <c r="GS43" s="280"/>
      <c r="GT43" s="280"/>
      <c r="GU43" s="280"/>
      <c r="GV43" s="280"/>
      <c r="GW43" s="280"/>
    </row>
    <row r="44" spans="1:205" ht="3.75" customHeight="1" x14ac:dyDescent="0.25">
      <c r="A44" s="63"/>
      <c r="B44" s="64"/>
      <c r="C44" s="64"/>
      <c r="D44" s="64"/>
      <c r="E44" s="64"/>
      <c r="F44" s="64"/>
      <c r="G44" s="64"/>
      <c r="H44" s="64"/>
      <c r="I44" s="64"/>
      <c r="J44" s="64"/>
      <c r="K44" s="64"/>
      <c r="L44" s="64"/>
      <c r="M44" s="64"/>
      <c r="N44" s="64"/>
      <c r="O44" s="64"/>
      <c r="P44" s="64"/>
      <c r="Q44" s="64"/>
      <c r="R44" s="64"/>
      <c r="S44" s="64"/>
      <c r="T44" s="327"/>
      <c r="U44" s="64"/>
      <c r="V44" s="65"/>
      <c r="W44" s="65"/>
      <c r="X44" s="65"/>
      <c r="Y44" s="65"/>
      <c r="Z44" s="65"/>
      <c r="AA44" s="65"/>
      <c r="AB44" s="65"/>
      <c r="AC44" s="65"/>
      <c r="AD44" s="66"/>
      <c r="GS44" s="15"/>
      <c r="GT44" s="15"/>
      <c r="GU44" s="15"/>
      <c r="GV44" s="15"/>
      <c r="GW44" s="15"/>
    </row>
    <row r="45" spans="1:205" ht="30" customHeight="1" thickBot="1" x14ac:dyDescent="0.4">
      <c r="A45" s="34"/>
      <c r="B45" s="35" t="s">
        <v>2</v>
      </c>
      <c r="C45" s="35"/>
      <c r="D45" s="36"/>
      <c r="E45" s="36"/>
      <c r="F45" s="67"/>
      <c r="G45" s="67"/>
      <c r="H45" s="67"/>
      <c r="I45" s="67"/>
      <c r="J45" s="67"/>
      <c r="K45" s="36"/>
      <c r="L45" s="36"/>
      <c r="M45" s="36"/>
      <c r="N45" s="36"/>
      <c r="O45" s="36"/>
      <c r="P45" s="267"/>
      <c r="Q45" s="267"/>
      <c r="R45" s="267"/>
      <c r="S45" s="267"/>
      <c r="T45" s="267"/>
      <c r="U45" s="267"/>
      <c r="V45" s="36"/>
      <c r="W45" s="36"/>
      <c r="X45" s="36"/>
      <c r="Y45" s="36"/>
      <c r="Z45" s="36"/>
      <c r="AA45" s="37"/>
      <c r="AB45" s="37"/>
      <c r="AC45" s="37"/>
      <c r="AD45" s="38"/>
      <c r="GS45" s="15"/>
      <c r="GT45" s="15"/>
      <c r="GU45" s="15"/>
      <c r="GV45" s="15"/>
      <c r="GW45" s="15"/>
    </row>
    <row r="46" spans="1:205" ht="30" customHeight="1" thickBot="1" x14ac:dyDescent="0.4">
      <c r="A46" s="39"/>
      <c r="B46" s="270" t="s">
        <v>94</v>
      </c>
      <c r="C46" s="40"/>
      <c r="D46" s="42"/>
      <c r="E46" s="42"/>
      <c r="F46" s="68"/>
      <c r="G46" s="68"/>
      <c r="H46" s="68"/>
      <c r="I46" s="68"/>
      <c r="J46" s="68"/>
      <c r="K46" s="42"/>
      <c r="L46" s="42"/>
      <c r="M46" s="42"/>
      <c r="N46" s="678" t="s">
        <v>351</v>
      </c>
      <c r="O46" s="678"/>
      <c r="P46" s="678"/>
      <c r="Q46" s="678"/>
      <c r="R46" s="678"/>
      <c r="S46" s="678"/>
      <c r="T46" s="678"/>
      <c r="U46" s="679"/>
      <c r="V46" s="443">
        <f>Taux!I33</f>
        <v>0</v>
      </c>
      <c r="W46" s="42"/>
      <c r="X46" s="42"/>
      <c r="Y46" s="42"/>
      <c r="Z46" s="42"/>
      <c r="AA46" s="43"/>
      <c r="AB46" s="43"/>
      <c r="AC46" s="43"/>
      <c r="AD46" s="44"/>
      <c r="GS46" s="15"/>
      <c r="GT46" s="15"/>
      <c r="GU46" s="15"/>
      <c r="GV46" s="15"/>
      <c r="GW46" s="15"/>
    </row>
    <row r="47" spans="1:205" ht="30" customHeight="1" thickBot="1" x14ac:dyDescent="0.3">
      <c r="A47" s="39"/>
      <c r="B47" s="135"/>
      <c r="C47" s="42"/>
      <c r="D47" s="672" t="str">
        <f>Taux!I28</f>
        <v>Oui</v>
      </c>
      <c r="E47" s="673"/>
      <c r="F47" s="664" t="str">
        <f>IF(COUNTBLANK(B47:B49)&lt;2,"Il ne peut y avoir qu'un seul choix de réponse",IF(COUNTBLANK(B47:B49)=3,"Vous devez faire un choix de réponse",""))</f>
        <v>Vous devez faire un choix de réponse</v>
      </c>
      <c r="G47" s="664"/>
      <c r="H47" s="664"/>
      <c r="I47" s="664"/>
      <c r="J47" s="664"/>
      <c r="K47" s="664"/>
      <c r="L47" s="42"/>
      <c r="M47" s="42"/>
      <c r="N47" s="42"/>
      <c r="O47" s="42"/>
      <c r="P47" s="122"/>
      <c r="Q47" s="122"/>
      <c r="R47" s="122"/>
      <c r="S47" s="122"/>
      <c r="T47" s="376"/>
      <c r="U47" s="69"/>
      <c r="V47" s="42"/>
      <c r="W47" s="70"/>
      <c r="X47" s="42"/>
      <c r="Y47" s="42"/>
      <c r="Z47" s="43"/>
      <c r="AA47" s="43"/>
      <c r="AB47" s="43"/>
      <c r="AC47" s="43"/>
      <c r="AD47" s="44"/>
      <c r="GS47" s="15"/>
      <c r="GT47" s="15"/>
      <c r="GU47" s="15"/>
      <c r="GV47" s="15"/>
      <c r="GW47" s="15"/>
    </row>
    <row r="48" spans="1:205" ht="3.75" customHeight="1" thickBot="1" x14ac:dyDescent="0.3">
      <c r="A48" s="39"/>
      <c r="B48" s="43"/>
      <c r="C48" s="42"/>
      <c r="D48" s="42"/>
      <c r="E48" s="42"/>
      <c r="F48" s="664"/>
      <c r="G48" s="664"/>
      <c r="H48" s="664"/>
      <c r="I48" s="664"/>
      <c r="J48" s="664"/>
      <c r="K48" s="664"/>
      <c r="L48" s="42"/>
      <c r="M48" s="42"/>
      <c r="N48" s="42"/>
      <c r="O48" s="42"/>
      <c r="P48" s="42"/>
      <c r="Q48" s="42"/>
      <c r="R48" s="42"/>
      <c r="S48" s="42"/>
      <c r="T48" s="306"/>
      <c r="U48" s="42"/>
      <c r="V48" s="42"/>
      <c r="W48" s="70"/>
      <c r="X48" s="42"/>
      <c r="Y48" s="42"/>
      <c r="Z48" s="43"/>
      <c r="AA48" s="43"/>
      <c r="AB48" s="43"/>
      <c r="AC48" s="43"/>
      <c r="AD48" s="44"/>
      <c r="GS48" s="15"/>
      <c r="GT48" s="15"/>
      <c r="GU48" s="15"/>
      <c r="GV48" s="15"/>
      <c r="GW48" s="15"/>
    </row>
    <row r="49" spans="1:205" ht="30" customHeight="1" thickBot="1" x14ac:dyDescent="0.3">
      <c r="A49" s="39"/>
      <c r="B49" s="135"/>
      <c r="C49" s="42"/>
      <c r="D49" s="672" t="str">
        <f>Taux!I29</f>
        <v>Non</v>
      </c>
      <c r="E49" s="673"/>
      <c r="F49" s="664"/>
      <c r="G49" s="664"/>
      <c r="H49" s="664"/>
      <c r="I49" s="664"/>
      <c r="J49" s="664"/>
      <c r="K49" s="664"/>
      <c r="L49" s="42"/>
      <c r="M49" s="42"/>
      <c r="N49" s="42"/>
      <c r="O49" s="42"/>
      <c r="P49" s="70"/>
      <c r="Q49" s="70"/>
      <c r="R49" s="70"/>
      <c r="S49" s="42"/>
      <c r="T49" s="306"/>
      <c r="U49" s="269" t="s">
        <v>137</v>
      </c>
      <c r="V49" s="268">
        <f>V34</f>
        <v>0</v>
      </c>
      <c r="W49" s="72"/>
      <c r="X49" s="42"/>
      <c r="Y49" s="42"/>
      <c r="Z49" s="43"/>
      <c r="AA49" s="43"/>
      <c r="AB49" s="49" t="s">
        <v>292</v>
      </c>
      <c r="AC49" s="440">
        <f>IF(F47="",ROUND(V49/1000*V46,2),0)</f>
        <v>0</v>
      </c>
      <c r="AD49" s="44"/>
      <c r="AF49" s="374"/>
      <c r="GS49" s="15"/>
      <c r="GT49" s="15"/>
      <c r="GU49" s="15"/>
      <c r="GV49" s="15"/>
      <c r="GW49" s="15"/>
    </row>
    <row r="50" spans="1:205" ht="3.75" customHeight="1" x14ac:dyDescent="0.25">
      <c r="A50" s="39"/>
      <c r="B50" s="43"/>
      <c r="C50" s="42"/>
      <c r="D50" s="42"/>
      <c r="E50" s="42"/>
      <c r="F50" s="42"/>
      <c r="G50" s="42"/>
      <c r="H50" s="42"/>
      <c r="I50" s="42"/>
      <c r="J50" s="42"/>
      <c r="K50" s="42"/>
      <c r="L50" s="42"/>
      <c r="M50" s="42"/>
      <c r="N50" s="42"/>
      <c r="O50" s="42"/>
      <c r="P50" s="42"/>
      <c r="Q50" s="42"/>
      <c r="R50" s="42"/>
      <c r="S50" s="42"/>
      <c r="T50" s="306"/>
      <c r="U50" s="42"/>
      <c r="V50" s="42"/>
      <c r="W50" s="70"/>
      <c r="X50" s="42"/>
      <c r="Y50" s="42"/>
      <c r="Z50" s="43"/>
      <c r="AA50" s="43"/>
      <c r="AB50" s="43"/>
      <c r="AC50" s="49"/>
      <c r="AD50" s="44"/>
      <c r="GS50" s="15"/>
      <c r="GT50" s="15"/>
      <c r="GU50" s="15"/>
      <c r="GV50" s="15"/>
      <c r="GW50" s="15"/>
    </row>
    <row r="51" spans="1:205" ht="30" customHeight="1" thickBot="1" x14ac:dyDescent="0.3">
      <c r="A51" s="39"/>
      <c r="B51" s="665" t="s">
        <v>108</v>
      </c>
      <c r="C51" s="665"/>
      <c r="D51" s="665"/>
      <c r="E51" s="665"/>
      <c r="F51" s="665"/>
      <c r="G51" s="665"/>
      <c r="H51" s="665"/>
      <c r="I51" s="665"/>
      <c r="J51" s="665"/>
      <c r="K51" s="665"/>
      <c r="L51" s="665"/>
      <c r="M51" s="665"/>
      <c r="N51" s="665"/>
      <c r="O51" s="665"/>
      <c r="P51" s="665"/>
      <c r="Q51" s="665"/>
      <c r="R51" s="71"/>
      <c r="S51" s="71"/>
      <c r="T51" s="334"/>
      <c r="U51" s="71"/>
      <c r="V51" s="72"/>
      <c r="W51" s="72"/>
      <c r="X51" s="72"/>
      <c r="Y51" s="42"/>
      <c r="Z51" s="43"/>
      <c r="AA51" s="43"/>
      <c r="AB51" s="49" t="s">
        <v>290</v>
      </c>
      <c r="AC51" s="444">
        <f>26*AC49</f>
        <v>0</v>
      </c>
      <c r="AD51" s="44"/>
      <c r="GS51" s="15"/>
      <c r="GT51" s="15"/>
      <c r="GU51" s="15"/>
      <c r="GV51" s="15"/>
      <c r="GW51" s="15"/>
    </row>
    <row r="52" spans="1:205" ht="30" customHeight="1" x14ac:dyDescent="0.25">
      <c r="A52" s="53"/>
      <c r="B52" s="666" t="s">
        <v>112</v>
      </c>
      <c r="C52" s="666"/>
      <c r="D52" s="666"/>
      <c r="E52" s="666"/>
      <c r="F52" s="666"/>
      <c r="G52" s="666"/>
      <c r="H52" s="666"/>
      <c r="I52" s="666"/>
      <c r="J52" s="666"/>
      <c r="K52" s="666"/>
      <c r="L52" s="666"/>
      <c r="M52" s="666"/>
      <c r="N52" s="666"/>
      <c r="O52" s="666"/>
      <c r="P52" s="666"/>
      <c r="Q52" s="666"/>
      <c r="R52" s="54"/>
      <c r="S52" s="54"/>
      <c r="T52" s="317"/>
      <c r="U52" s="54"/>
      <c r="V52" s="54"/>
      <c r="W52" s="54"/>
      <c r="X52" s="54"/>
      <c r="Y52" s="54"/>
      <c r="Z52" s="55"/>
      <c r="AA52" s="318"/>
      <c r="AB52" s="55"/>
      <c r="AC52" s="580" t="str">
        <f xml:space="preserve"> IF(AC49&gt;0,"Ce cout n'inclut pas la taxe de 9 %","")</f>
        <v/>
      </c>
      <c r="AD52" s="56"/>
      <c r="GS52" s="15"/>
      <c r="GT52" s="15"/>
      <c r="GU52" s="15"/>
      <c r="GV52" s="15"/>
      <c r="GW52" s="15"/>
    </row>
    <row r="53" spans="1:205" ht="3.75" customHeight="1" x14ac:dyDescent="0.25">
      <c r="A53" s="19"/>
      <c r="B53" s="74"/>
      <c r="C53" s="74"/>
      <c r="D53" s="74"/>
      <c r="E53" s="74"/>
      <c r="F53" s="74"/>
      <c r="G53" s="74"/>
      <c r="H53" s="74"/>
      <c r="I53" s="74"/>
      <c r="J53" s="74"/>
      <c r="K53" s="74"/>
      <c r="L53" s="74"/>
      <c r="M53" s="74"/>
      <c r="N53" s="74"/>
      <c r="O53" s="74"/>
      <c r="P53" s="74"/>
      <c r="Q53" s="74"/>
      <c r="R53" s="20"/>
      <c r="S53" s="20"/>
      <c r="T53" s="283"/>
      <c r="U53" s="20"/>
      <c r="V53" s="20"/>
      <c r="W53" s="20"/>
      <c r="X53" s="20"/>
      <c r="Y53" s="20"/>
      <c r="Z53" s="57"/>
      <c r="AA53" s="57"/>
      <c r="AB53" s="57"/>
      <c r="AC53" s="57"/>
      <c r="AD53" s="21"/>
      <c r="GS53" s="15"/>
      <c r="GT53" s="15"/>
      <c r="GU53" s="15"/>
      <c r="GV53" s="15"/>
      <c r="GW53" s="15"/>
    </row>
    <row r="54" spans="1:205" s="75" customFormat="1" ht="30" customHeight="1" x14ac:dyDescent="0.35">
      <c r="A54" s="22"/>
      <c r="B54" s="58" t="s">
        <v>4</v>
      </c>
      <c r="C54" s="58"/>
      <c r="D54" s="23"/>
      <c r="E54" s="23"/>
      <c r="F54" s="23"/>
      <c r="G54" s="23"/>
      <c r="H54" s="23"/>
      <c r="I54" s="23"/>
      <c r="J54" s="23"/>
      <c r="K54" s="23"/>
      <c r="L54" s="23"/>
      <c r="M54" s="23"/>
      <c r="N54" s="28"/>
      <c r="O54" s="28"/>
      <c r="P54" s="28"/>
      <c r="Q54" s="60" t="s">
        <v>111</v>
      </c>
      <c r="R54" s="28"/>
      <c r="S54" s="60"/>
      <c r="T54" s="418"/>
      <c r="U54" s="30"/>
      <c r="V54" s="30"/>
      <c r="W54" s="30"/>
      <c r="X54" s="30"/>
      <c r="Y54" s="30"/>
      <c r="Z54" s="30"/>
      <c r="AA54" s="30"/>
      <c r="AB54" s="30"/>
      <c r="AC54" s="30"/>
      <c r="AD54" s="2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row>
    <row r="55" spans="1:205" s="75" customFormat="1" ht="3.75" customHeight="1" thickBot="1" x14ac:dyDescent="0.4">
      <c r="A55" s="22"/>
      <c r="B55" s="58"/>
      <c r="C55" s="58"/>
      <c r="D55" s="23"/>
      <c r="E55" s="23"/>
      <c r="F55" s="23"/>
      <c r="G55" s="23"/>
      <c r="H55" s="23"/>
      <c r="I55" s="23"/>
      <c r="J55" s="23"/>
      <c r="K55" s="23"/>
      <c r="L55" s="23"/>
      <c r="M55" s="23"/>
      <c r="N55" s="28"/>
      <c r="O55" s="28"/>
      <c r="P55" s="28"/>
      <c r="Q55" s="28"/>
      <c r="R55" s="28"/>
      <c r="S55" s="30"/>
      <c r="T55" s="422"/>
      <c r="U55" s="30"/>
      <c r="V55" s="30"/>
      <c r="W55" s="23"/>
      <c r="X55" s="23"/>
      <c r="Y55" s="23"/>
      <c r="Z55" s="23"/>
      <c r="AA55" s="30"/>
      <c r="AB55" s="30"/>
      <c r="AC55" s="30"/>
      <c r="AD55" s="2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row>
    <row r="56" spans="1:205" s="75" customFormat="1" ht="30" customHeight="1" thickBot="1" x14ac:dyDescent="0.3">
      <c r="A56" s="22"/>
      <c r="B56" s="76" t="s">
        <v>189</v>
      </c>
      <c r="C56" s="76"/>
      <c r="D56" s="23"/>
      <c r="E56" s="23"/>
      <c r="F56" s="23"/>
      <c r="G56" s="23"/>
      <c r="H56" s="23"/>
      <c r="I56" s="23"/>
      <c r="J56" s="23"/>
      <c r="K56" s="23"/>
      <c r="L56" s="23"/>
      <c r="M56" s="23"/>
      <c r="N56" s="28"/>
      <c r="O56" s="28"/>
      <c r="P56" s="28"/>
      <c r="Q56" s="135"/>
      <c r="R56" s="23"/>
      <c r="S56" s="658" t="str">
        <f>IF(Taux!R19=Taux!R15,Taux!N18,IF(Taux!R19=Taux!R16,Taux!N17,Taux!N16))</f>
        <v>Une fois le salaire annuel</v>
      </c>
      <c r="T56" s="659"/>
      <c r="U56" s="659"/>
      <c r="V56" s="659"/>
      <c r="W56" s="660"/>
      <c r="X56" s="656" t="str">
        <f>IF(COUNTBLANK(Q56:Q58)&lt;2,"Il ne peut y avoir qu'un seul choix de réponse",IF(COUNTBLANK(Q56:Q58)=3,"Vous devez faire un choix de réponse",""))</f>
        <v>Vous devez faire un choix de réponse</v>
      </c>
      <c r="Y56" s="656"/>
      <c r="Z56" s="77"/>
      <c r="AA56" s="30"/>
      <c r="AB56" s="30"/>
      <c r="AC56" s="30"/>
      <c r="AD56" s="2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row>
    <row r="57" spans="1:205" s="75" customFormat="1" ht="3.75" customHeight="1" thickBot="1" x14ac:dyDescent="0.3">
      <c r="A57" s="22"/>
      <c r="B57" s="76"/>
      <c r="C57" s="76"/>
      <c r="D57" s="23"/>
      <c r="E57" s="23"/>
      <c r="F57" s="23"/>
      <c r="G57" s="23"/>
      <c r="H57" s="23"/>
      <c r="I57" s="23"/>
      <c r="J57" s="23"/>
      <c r="K57" s="23"/>
      <c r="L57" s="23"/>
      <c r="M57" s="23"/>
      <c r="N57" s="28"/>
      <c r="O57" s="28"/>
      <c r="P57" s="28"/>
      <c r="Q57" s="28"/>
      <c r="R57" s="28"/>
      <c r="S57" s="28"/>
      <c r="T57" s="430"/>
      <c r="U57" s="28"/>
      <c r="V57" s="28"/>
      <c r="W57" s="28"/>
      <c r="X57" s="656"/>
      <c r="Y57" s="656"/>
      <c r="Z57" s="77"/>
      <c r="AA57" s="30"/>
      <c r="AB57" s="30"/>
      <c r="AC57" s="30"/>
      <c r="AD57" s="2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row>
    <row r="58" spans="1:205" s="75" customFormat="1" ht="30" customHeight="1" thickBot="1" x14ac:dyDescent="0.3">
      <c r="A58" s="22"/>
      <c r="B58" s="28" t="s">
        <v>92</v>
      </c>
      <c r="C58" s="76"/>
      <c r="D58" s="23"/>
      <c r="E58" s="23"/>
      <c r="F58" s="23"/>
      <c r="G58" s="23"/>
      <c r="H58" s="23"/>
      <c r="I58" s="23"/>
      <c r="J58" s="23"/>
      <c r="K58" s="23"/>
      <c r="L58" s="23"/>
      <c r="M58" s="23"/>
      <c r="N58" s="23"/>
      <c r="O58" s="23"/>
      <c r="P58" s="23"/>
      <c r="Q58" s="135"/>
      <c r="R58" s="23"/>
      <c r="S58" s="658" t="str">
        <f>IF(Taux!R19=Taux!R15,Taux!N19,IF(Taux!R19=Taux!R16,Taux!N18,Taux!N16))</f>
        <v>Deux fois le salaire annuel</v>
      </c>
      <c r="T58" s="659"/>
      <c r="U58" s="659"/>
      <c r="V58" s="659"/>
      <c r="W58" s="660"/>
      <c r="X58" s="656"/>
      <c r="Y58" s="656"/>
      <c r="Z58" s="77"/>
      <c r="AA58" s="30"/>
      <c r="AB58" s="30"/>
      <c r="AC58" s="30"/>
      <c r="AD58" s="2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row>
    <row r="59" spans="1:205" s="75" customFormat="1" ht="3.75" customHeight="1" thickBot="1" x14ac:dyDescent="0.3">
      <c r="A59" s="22"/>
      <c r="B59" s="76"/>
      <c r="C59" s="76"/>
      <c r="D59" s="23"/>
      <c r="E59" s="23"/>
      <c r="F59" s="23"/>
      <c r="G59" s="23"/>
      <c r="H59" s="23"/>
      <c r="I59" s="23"/>
      <c r="J59" s="23"/>
      <c r="K59" s="23"/>
      <c r="L59" s="23"/>
      <c r="M59" s="23"/>
      <c r="N59" s="23"/>
      <c r="O59" s="23"/>
      <c r="P59" s="23"/>
      <c r="Q59" s="78"/>
      <c r="R59" s="79"/>
      <c r="S59" s="79"/>
      <c r="T59" s="341"/>
      <c r="U59" s="23"/>
      <c r="V59" s="23"/>
      <c r="W59" s="30"/>
      <c r="X59" s="30"/>
      <c r="Y59" s="23"/>
      <c r="Z59" s="30"/>
      <c r="AA59" s="30"/>
      <c r="AB59" s="30"/>
      <c r="AC59" s="24"/>
      <c r="AD59" s="2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row>
    <row r="60" spans="1:205" s="75" customFormat="1" ht="30" customHeight="1" thickBot="1" x14ac:dyDescent="0.3">
      <c r="A60" s="22"/>
      <c r="B60" s="135"/>
      <c r="C60" s="30"/>
      <c r="D60" s="658" t="str">
        <f>Taux!L15</f>
        <v>Oui</v>
      </c>
      <c r="E60" s="660"/>
      <c r="F60" s="656" t="str">
        <f>IF(COUNTBLANK(B60:B62)&lt;2,"Il ne peut y avoir qu'un seul choix de réponse",IF(COUNTBLANK(B60:B62)=3,"Vous devez faire un choix de réponse",""))</f>
        <v>Vous devez faire un choix de réponse</v>
      </c>
      <c r="G60" s="656"/>
      <c r="H60" s="656"/>
      <c r="I60" s="77"/>
      <c r="J60" s="77"/>
      <c r="K60" s="77"/>
      <c r="L60" s="23"/>
      <c r="M60" s="23"/>
      <c r="N60" s="23"/>
      <c r="O60" s="23"/>
      <c r="P60" s="23"/>
      <c r="Q60" s="78"/>
      <c r="R60" s="78"/>
      <c r="S60" s="78"/>
      <c r="T60" s="423"/>
      <c r="U60" s="80" t="s">
        <v>139</v>
      </c>
      <c r="V60" s="518">
        <f>V34</f>
        <v>0</v>
      </c>
      <c r="W60" s="656" t="str">
        <f>IF(V60&lt;75000,"Le plus petit salaire assurable est de 75 000$ par année pour l'assurance vie de base","")</f>
        <v>Le plus petit salaire assurable est de 75 000$ par année pour l'assurance vie de base</v>
      </c>
      <c r="X60" s="656"/>
      <c r="Y60" s="429"/>
      <c r="Z60" s="422"/>
      <c r="AA60" s="422"/>
      <c r="AB60" s="436"/>
      <c r="AC60" s="287"/>
      <c r="AD60" s="2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row>
    <row r="61" spans="1:205" s="75" customFormat="1" ht="3.75" customHeight="1" thickBot="1" x14ac:dyDescent="0.3">
      <c r="A61" s="22"/>
      <c r="C61" s="30"/>
      <c r="D61" s="27"/>
      <c r="E61" s="23"/>
      <c r="F61" s="656"/>
      <c r="G61" s="656"/>
      <c r="H61" s="656"/>
      <c r="I61" s="77"/>
      <c r="J61" s="77"/>
      <c r="K61" s="77"/>
      <c r="L61" s="23"/>
      <c r="M61" s="23"/>
      <c r="N61" s="23"/>
      <c r="O61" s="23"/>
      <c r="P61" s="23"/>
      <c r="Q61" s="78"/>
      <c r="R61" s="78"/>
      <c r="S61" s="78"/>
      <c r="T61" s="423"/>
      <c r="U61" s="81"/>
      <c r="V61" s="82"/>
      <c r="W61" s="656"/>
      <c r="X61" s="656"/>
      <c r="Y61" s="429"/>
      <c r="Z61" s="422"/>
      <c r="AA61" s="422"/>
      <c r="AB61" s="294"/>
      <c r="AC61" s="287"/>
      <c r="AD61" s="2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row>
    <row r="62" spans="1:205" s="75" customFormat="1" ht="30" customHeight="1" thickBot="1" x14ac:dyDescent="0.3">
      <c r="A62" s="22"/>
      <c r="B62" s="135"/>
      <c r="C62" s="30"/>
      <c r="D62" s="658" t="str">
        <f>Taux!L16</f>
        <v>Non</v>
      </c>
      <c r="E62" s="660"/>
      <c r="F62" s="656"/>
      <c r="G62" s="656"/>
      <c r="H62" s="656"/>
      <c r="I62" s="77"/>
      <c r="J62" s="77"/>
      <c r="K62" s="77"/>
      <c r="L62" s="23"/>
      <c r="M62" s="23"/>
      <c r="N62" s="23"/>
      <c r="O62" s="23"/>
      <c r="P62" s="23"/>
      <c r="Q62" s="78"/>
      <c r="R62" s="78"/>
      <c r="S62" s="78"/>
      <c r="T62" s="423"/>
      <c r="U62" s="81" t="s">
        <v>117</v>
      </c>
      <c r="V62" s="445">
        <f>Taux!Q18</f>
        <v>0</v>
      </c>
      <c r="W62" s="656"/>
      <c r="X62" s="656"/>
      <c r="Y62" s="429"/>
      <c r="Z62" s="292"/>
      <c r="AA62" s="292"/>
      <c r="AB62" s="292"/>
      <c r="AC62" s="292"/>
      <c r="AD62" s="25"/>
      <c r="AE62" s="15"/>
      <c r="AF62" s="15"/>
      <c r="AG62" s="280"/>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row>
    <row r="63" spans="1:205" s="75" customFormat="1" ht="3.75" customHeight="1" x14ac:dyDescent="0.25">
      <c r="A63" s="22"/>
      <c r="C63" s="30"/>
      <c r="D63" s="27"/>
      <c r="E63" s="23"/>
      <c r="F63" s="23"/>
      <c r="G63" s="23"/>
      <c r="H63" s="23"/>
      <c r="I63" s="23"/>
      <c r="J63" s="23"/>
      <c r="K63" s="23"/>
      <c r="L63" s="23"/>
      <c r="M63" s="23"/>
      <c r="N63" s="23"/>
      <c r="O63" s="23"/>
      <c r="P63" s="23"/>
      <c r="Q63" s="78"/>
      <c r="R63" s="78"/>
      <c r="S63" s="78"/>
      <c r="T63" s="423"/>
      <c r="U63" s="83"/>
      <c r="V63" s="23"/>
      <c r="W63" s="81"/>
      <c r="X63" s="82"/>
      <c r="Y63" s="429"/>
      <c r="Z63" s="292"/>
      <c r="AA63" s="292"/>
      <c r="AB63" s="292"/>
      <c r="AC63" s="292"/>
      <c r="AD63" s="25"/>
      <c r="AE63" s="15"/>
      <c r="AF63" s="15"/>
      <c r="AG63" s="280"/>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row>
    <row r="64" spans="1:205" s="75" customFormat="1" ht="30" customHeight="1" thickBot="1" x14ac:dyDescent="0.3">
      <c r="A64" s="22"/>
      <c r="B64" s="429"/>
      <c r="C64" s="429"/>
      <c r="D64" s="667" t="s">
        <v>105</v>
      </c>
      <c r="E64" s="667"/>
      <c r="F64" s="667"/>
      <c r="G64" s="667"/>
      <c r="H64" s="667"/>
      <c r="I64" s="667"/>
      <c r="J64" s="667"/>
      <c r="K64" s="667"/>
      <c r="L64" s="30"/>
      <c r="M64" s="30"/>
      <c r="N64" s="30"/>
      <c r="O64" s="30"/>
      <c r="P64" s="30"/>
      <c r="Q64" s="30"/>
      <c r="R64" s="23"/>
      <c r="S64" s="23"/>
      <c r="T64" s="429"/>
      <c r="U64" s="23"/>
      <c r="V64" s="23"/>
      <c r="W64" s="81"/>
      <c r="X64" s="81"/>
      <c r="Y64" s="343"/>
      <c r="Z64" s="292"/>
      <c r="AA64" s="292"/>
      <c r="AB64" s="292"/>
      <c r="AC64" s="571"/>
      <c r="AD64" s="25"/>
      <c r="AE64" s="15"/>
      <c r="AF64" s="15"/>
      <c r="AG64" s="280"/>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row>
    <row r="65" spans="1:205" s="75" customFormat="1" ht="30" customHeight="1" thickBot="1" x14ac:dyDescent="0.3">
      <c r="A65" s="22"/>
      <c r="B65" s="429"/>
      <c r="C65" s="429"/>
      <c r="D65" s="661" t="str">
        <f>Taux!R19</f>
        <v>Moins de 65 ans</v>
      </c>
      <c r="E65" s="662"/>
      <c r="F65" s="662"/>
      <c r="G65" s="662"/>
      <c r="H65" s="662"/>
      <c r="I65" s="662"/>
      <c r="J65" s="662"/>
      <c r="K65" s="663"/>
      <c r="L65" s="656"/>
      <c r="M65" s="79"/>
      <c r="N65" s="79"/>
      <c r="O65" s="79"/>
      <c r="P65" s="79"/>
      <c r="Q65" s="79"/>
      <c r="R65" s="79"/>
      <c r="S65" s="79"/>
      <c r="T65" s="341"/>
      <c r="U65" s="83"/>
      <c r="V65" s="23"/>
      <c r="W65" s="81"/>
      <c r="X65" s="81"/>
      <c r="Y65" s="343"/>
      <c r="Z65" s="422"/>
      <c r="AA65" s="422"/>
      <c r="AB65" s="294" t="s">
        <v>292</v>
      </c>
      <c r="AC65" s="439">
        <f>IF(AND(F60="",X56=""),ROUND(V67*V62/1000,2)+V69,0)</f>
        <v>0</v>
      </c>
      <c r="AD65" s="25"/>
      <c r="AE65" s="15"/>
      <c r="AF65" s="15"/>
      <c r="AG65" s="280"/>
      <c r="AH65" s="280"/>
      <c r="AI65" s="15"/>
      <c r="AJ65" s="374"/>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row>
    <row r="66" spans="1:205" s="75" customFormat="1" ht="3.75" customHeight="1" thickBot="1" x14ac:dyDescent="0.3">
      <c r="A66" s="22"/>
      <c r="B66" s="429"/>
      <c r="C66" s="429"/>
      <c r="D66" s="23"/>
      <c r="E66" s="23"/>
      <c r="F66" s="23"/>
      <c r="G66" s="23"/>
      <c r="H66" s="23"/>
      <c r="I66" s="23"/>
      <c r="J66" s="23"/>
      <c r="K66" s="23"/>
      <c r="L66" s="656"/>
      <c r="M66" s="23"/>
      <c r="N66" s="23"/>
      <c r="O66" s="23"/>
      <c r="P66" s="23"/>
      <c r="Q66" s="23"/>
      <c r="R66" s="23"/>
      <c r="S66" s="23"/>
      <c r="T66" s="429"/>
      <c r="U66" s="23"/>
      <c r="V66" s="84"/>
      <c r="W66" s="85"/>
      <c r="X66" s="23"/>
      <c r="Y66" s="23"/>
      <c r="Z66" s="30"/>
      <c r="AA66" s="30"/>
      <c r="AB66" s="30"/>
      <c r="AC66" s="30"/>
      <c r="AD66" s="25"/>
      <c r="AE66" s="15"/>
      <c r="AF66" s="15"/>
      <c r="AG66" s="280"/>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row>
    <row r="67" spans="1:205" s="75" customFormat="1" ht="30" customHeight="1" thickBot="1" x14ac:dyDescent="0.3">
      <c r="A67" s="22"/>
      <c r="B67" s="429"/>
      <c r="C67" s="429"/>
      <c r="D67" s="429"/>
      <c r="E67" s="429"/>
      <c r="F67" s="429"/>
      <c r="G67" s="429"/>
      <c r="H67" s="429"/>
      <c r="I67" s="429"/>
      <c r="J67" s="429"/>
      <c r="K67" s="429"/>
      <c r="L67" s="656"/>
      <c r="M67" s="79"/>
      <c r="N67" s="668" t="s">
        <v>352</v>
      </c>
      <c r="O67" s="668"/>
      <c r="P67" s="668"/>
      <c r="Q67" s="668"/>
      <c r="R67" s="668"/>
      <c r="S67" s="668"/>
      <c r="T67" s="668"/>
      <c r="U67" s="669"/>
      <c r="V67" s="446">
        <f>Taux!L20</f>
        <v>0</v>
      </c>
      <c r="W67" s="86"/>
      <c r="X67" s="81"/>
      <c r="Y67" s="81"/>
      <c r="Z67" s="30"/>
      <c r="AA67" s="30"/>
      <c r="AB67" s="31" t="s">
        <v>290</v>
      </c>
      <c r="AC67" s="439">
        <f>26*AC65</f>
        <v>0</v>
      </c>
      <c r="AD67" s="25"/>
      <c r="AE67" s="15"/>
      <c r="AF67" s="15"/>
      <c r="AG67" s="280"/>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row>
    <row r="68" spans="1:205" s="75" customFormat="1" ht="3.75" customHeight="1" thickBot="1" x14ac:dyDescent="0.3">
      <c r="A68" s="22"/>
      <c r="B68" s="429"/>
      <c r="C68" s="429"/>
      <c r="D68" s="429"/>
      <c r="E68" s="429"/>
      <c r="F68" s="429"/>
      <c r="G68" s="429"/>
      <c r="H68" s="429"/>
      <c r="I68" s="429"/>
      <c r="J68" s="429"/>
      <c r="K68" s="429"/>
      <c r="L68" s="656"/>
      <c r="M68" s="23"/>
      <c r="N68" s="140"/>
      <c r="O68" s="140"/>
      <c r="P68" s="140"/>
      <c r="Q68" s="140"/>
      <c r="R68" s="140"/>
      <c r="S68" s="140"/>
      <c r="T68" s="409"/>
      <c r="U68" s="140"/>
      <c r="V68" s="23"/>
      <c r="W68" s="23"/>
      <c r="X68" s="23"/>
      <c r="Y68" s="23"/>
      <c r="Z68" s="81"/>
      <c r="AB68" s="81"/>
      <c r="AC68" s="81"/>
      <c r="AD68" s="2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row>
    <row r="69" spans="1:205" s="75" customFormat="1" ht="30" customHeight="1" thickBot="1" x14ac:dyDescent="0.3">
      <c r="A69" s="22"/>
      <c r="B69" s="429"/>
      <c r="C69" s="429"/>
      <c r="D69" s="429"/>
      <c r="E69" s="429"/>
      <c r="F69" s="429"/>
      <c r="G69" s="429"/>
      <c r="H69" s="429"/>
      <c r="I69" s="429"/>
      <c r="J69" s="429"/>
      <c r="K69" s="429"/>
      <c r="L69" s="656"/>
      <c r="M69" s="79"/>
      <c r="N69" s="670" t="s">
        <v>328</v>
      </c>
      <c r="O69" s="670"/>
      <c r="P69" s="670"/>
      <c r="Q69" s="670"/>
      <c r="R69" s="670"/>
      <c r="S69" s="670"/>
      <c r="T69" s="670"/>
      <c r="U69" s="671"/>
      <c r="V69" s="447">
        <f>IF(Taux!L18=Taux!L15,Taux!Q16,0)</f>
        <v>0</v>
      </c>
      <c r="W69" s="87"/>
      <c r="X69" s="81"/>
      <c r="Y69" s="81"/>
      <c r="Z69" s="81"/>
      <c r="AA69" s="422"/>
      <c r="AB69" s="81"/>
      <c r="AC69" s="579" t="str">
        <f xml:space="preserve"> IF(AC65&gt;0,"Ce cout tient compte d'un congé de prime de 50 %, mais n'inclut pas la taxe de vente de 9 %","")</f>
        <v/>
      </c>
      <c r="AD69" s="25"/>
      <c r="AE69" s="15"/>
      <c r="AF69" s="15"/>
      <c r="AG69" s="374"/>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row>
    <row r="70" spans="1:205" s="75" customFormat="1" ht="3.75" customHeight="1" x14ac:dyDescent="0.25">
      <c r="A70" s="63"/>
      <c r="B70" s="88" t="s">
        <v>104</v>
      </c>
      <c r="C70" s="88"/>
      <c r="D70" s="64"/>
      <c r="E70" s="64"/>
      <c r="F70" s="64"/>
      <c r="G70" s="64"/>
      <c r="H70" s="64"/>
      <c r="I70" s="64"/>
      <c r="J70" s="64"/>
      <c r="K70" s="64"/>
      <c r="L70" s="64"/>
      <c r="M70" s="64"/>
      <c r="N70" s="64"/>
      <c r="O70" s="64"/>
      <c r="P70" s="64"/>
      <c r="Q70" s="64"/>
      <c r="R70" s="64"/>
      <c r="S70" s="64"/>
      <c r="T70" s="327"/>
      <c r="U70" s="64"/>
      <c r="V70" s="64"/>
      <c r="W70" s="64"/>
      <c r="X70" s="64"/>
      <c r="Y70" s="64"/>
      <c r="Z70" s="65"/>
      <c r="AA70" s="65"/>
      <c r="AB70" s="65"/>
      <c r="AC70" s="65"/>
      <c r="AD70" s="66"/>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row>
    <row r="71" spans="1:205" s="90" customFormat="1" ht="30" customHeight="1" x14ac:dyDescent="0.35">
      <c r="A71" s="34"/>
      <c r="B71" s="40" t="s">
        <v>61</v>
      </c>
      <c r="C71" s="40"/>
      <c r="D71" s="42"/>
      <c r="E71" s="42"/>
      <c r="F71" s="42"/>
      <c r="G71" s="42"/>
      <c r="H71" s="42"/>
      <c r="I71" s="42"/>
      <c r="J71" s="42"/>
      <c r="K71" s="42"/>
      <c r="L71" s="42"/>
      <c r="M71" s="42"/>
      <c r="N71" s="42"/>
      <c r="O71" s="42"/>
      <c r="P71" s="42"/>
      <c r="Q71" s="42"/>
      <c r="R71" s="42"/>
      <c r="S71" s="42"/>
      <c r="T71" s="306"/>
      <c r="U71" s="42"/>
      <c r="V71" s="42"/>
      <c r="W71" s="89"/>
      <c r="X71" s="42"/>
      <c r="Y71" s="42"/>
      <c r="Z71" s="37"/>
      <c r="AA71" s="43"/>
      <c r="AB71" s="43"/>
      <c r="AC71" s="43"/>
      <c r="AD71" s="44"/>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row>
    <row r="72" spans="1:205" s="90" customFormat="1" ht="30" customHeight="1" thickBot="1" x14ac:dyDescent="0.4">
      <c r="A72" s="39"/>
      <c r="B72" s="270" t="s">
        <v>93</v>
      </c>
      <c r="C72" s="45"/>
      <c r="D72" s="43"/>
      <c r="E72" s="42"/>
      <c r="F72" s="42"/>
      <c r="G72" s="42"/>
      <c r="H72" s="42"/>
      <c r="I72" s="42"/>
      <c r="J72" s="42"/>
      <c r="K72" s="42"/>
      <c r="L72" s="42"/>
      <c r="M72" s="42"/>
      <c r="N72" s="42"/>
      <c r="O72" s="42"/>
      <c r="P72" s="42"/>
      <c r="Q72" s="42"/>
      <c r="R72" s="42"/>
      <c r="S72" s="42"/>
      <c r="T72" s="306"/>
      <c r="U72" s="42"/>
      <c r="V72" s="42"/>
      <c r="W72" s="89"/>
      <c r="X72" s="42"/>
      <c r="Y72" s="42"/>
      <c r="Z72" s="43"/>
      <c r="AA72" s="43"/>
      <c r="AB72" s="43"/>
      <c r="AC72" s="120"/>
      <c r="AD72" s="44"/>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row>
    <row r="73" spans="1:205" ht="30" customHeight="1" thickBot="1" x14ac:dyDescent="0.3">
      <c r="A73" s="39"/>
      <c r="B73" s="135"/>
      <c r="C73" s="42"/>
      <c r="D73" s="681" t="str">
        <f>Taux!L25</f>
        <v>Oui</v>
      </c>
      <c r="E73" s="683"/>
      <c r="F73" s="664" t="str">
        <f>IF(COUNTBLANK(B73:B75)&lt;2,"Il ne peut y avoir qu'un seul choix de réponse",IF(COUNTBLANK(B73:B75)=3,"Vous devez faire un choix de réponse",""))</f>
        <v>Vous devez faire un choix de réponse</v>
      </c>
      <c r="G73" s="664"/>
      <c r="H73" s="664"/>
      <c r="I73" s="664"/>
      <c r="J73" s="664"/>
      <c r="K73" s="664"/>
      <c r="L73" s="42"/>
      <c r="M73" s="42"/>
      <c r="N73" s="42"/>
      <c r="O73" s="42"/>
      <c r="P73" s="42"/>
      <c r="Q73" s="89"/>
      <c r="R73" s="42"/>
      <c r="S73" s="42"/>
      <c r="T73" s="306"/>
      <c r="U73" s="69"/>
      <c r="V73" s="42"/>
      <c r="W73" s="70"/>
      <c r="X73" s="42"/>
      <c r="Y73" s="42"/>
      <c r="Z73" s="43"/>
      <c r="AA73" s="43"/>
      <c r="AB73" s="49" t="s">
        <v>292</v>
      </c>
      <c r="AC73" s="50">
        <f>IF(F73="",Taux!L30,0)</f>
        <v>0</v>
      </c>
      <c r="AD73" s="44"/>
      <c r="GS73" s="15"/>
      <c r="GT73" s="15"/>
      <c r="GU73" s="15"/>
      <c r="GV73" s="15"/>
      <c r="GW73" s="15"/>
    </row>
    <row r="74" spans="1:205" ht="3.75" customHeight="1" thickBot="1" x14ac:dyDescent="0.3">
      <c r="A74" s="39"/>
      <c r="B74" s="43"/>
      <c r="C74" s="42"/>
      <c r="D74" s="42"/>
      <c r="E74" s="42"/>
      <c r="F74" s="664"/>
      <c r="G74" s="664"/>
      <c r="H74" s="664"/>
      <c r="I74" s="664"/>
      <c r="J74" s="664"/>
      <c r="K74" s="664"/>
      <c r="L74" s="42"/>
      <c r="M74" s="42"/>
      <c r="N74" s="42"/>
      <c r="O74" s="42"/>
      <c r="P74" s="42"/>
      <c r="Q74" s="42"/>
      <c r="R74" s="42"/>
      <c r="S74" s="42"/>
      <c r="T74" s="306"/>
      <c r="U74" s="42"/>
      <c r="V74" s="42"/>
      <c r="W74" s="70"/>
      <c r="X74" s="42"/>
      <c r="Y74" s="42"/>
      <c r="Z74" s="43"/>
      <c r="AA74" s="43"/>
      <c r="AB74" s="43"/>
      <c r="AC74" s="43"/>
      <c r="AD74" s="44"/>
      <c r="GS74" s="15"/>
      <c r="GT74" s="15"/>
      <c r="GU74" s="15"/>
      <c r="GV74" s="15"/>
      <c r="GW74" s="15"/>
    </row>
    <row r="75" spans="1:205" ht="30" customHeight="1" thickBot="1" x14ac:dyDescent="0.3">
      <c r="A75" s="39"/>
      <c r="B75" s="135"/>
      <c r="C75" s="42"/>
      <c r="D75" s="681" t="str">
        <f>Taux!L26</f>
        <v>Non</v>
      </c>
      <c r="E75" s="683"/>
      <c r="F75" s="664"/>
      <c r="G75" s="664"/>
      <c r="H75" s="664"/>
      <c r="I75" s="664"/>
      <c r="J75" s="664"/>
      <c r="K75" s="664"/>
      <c r="L75" s="42"/>
      <c r="M75" s="42"/>
      <c r="N75" s="42"/>
      <c r="O75" s="42"/>
      <c r="P75" s="42"/>
      <c r="Q75" s="42"/>
      <c r="R75" s="42"/>
      <c r="S75" s="42"/>
      <c r="T75" s="306"/>
      <c r="U75" s="707"/>
      <c r="V75" s="707"/>
      <c r="W75" s="707"/>
      <c r="X75" s="42"/>
      <c r="Y75" s="42"/>
      <c r="Z75" s="43"/>
      <c r="AA75" s="43"/>
      <c r="AB75" s="49" t="s">
        <v>290</v>
      </c>
      <c r="AC75" s="73">
        <f>26*AC73</f>
        <v>0</v>
      </c>
      <c r="AD75" s="44"/>
      <c r="GS75" s="15"/>
      <c r="GT75" s="15"/>
      <c r="GU75" s="15"/>
      <c r="GV75" s="15"/>
      <c r="GW75" s="15"/>
    </row>
    <row r="76" spans="1:205" ht="3.75" customHeight="1" x14ac:dyDescent="0.25">
      <c r="A76" s="39"/>
      <c r="B76" s="43"/>
      <c r="C76" s="42"/>
      <c r="D76" s="42"/>
      <c r="E76" s="42"/>
      <c r="F76" s="42"/>
      <c r="G76" s="91"/>
      <c r="H76" s="91"/>
      <c r="I76" s="91"/>
      <c r="J76" s="91"/>
      <c r="K76" s="91"/>
      <c r="L76" s="91"/>
      <c r="M76" s="42"/>
      <c r="N76" s="42"/>
      <c r="O76" s="42"/>
      <c r="P76" s="42"/>
      <c r="Q76" s="42"/>
      <c r="R76" s="42"/>
      <c r="S76" s="42"/>
      <c r="T76" s="306"/>
      <c r="U76" s="42"/>
      <c r="V76" s="42"/>
      <c r="W76" s="70"/>
      <c r="X76" s="42"/>
      <c r="Y76" s="42"/>
      <c r="Z76" s="43"/>
      <c r="AA76" s="43"/>
      <c r="AB76" s="43"/>
      <c r="AC76" s="52"/>
      <c r="AD76" s="44"/>
      <c r="GS76" s="15"/>
      <c r="GT76" s="15"/>
      <c r="GU76" s="15"/>
      <c r="GV76" s="15"/>
      <c r="GW76" s="15"/>
    </row>
    <row r="77" spans="1:205" s="90" customFormat="1" ht="30" customHeight="1" x14ac:dyDescent="0.25">
      <c r="A77" s="39"/>
      <c r="B77" s="42"/>
      <c r="C77" s="42"/>
      <c r="D77" s="42"/>
      <c r="E77" s="42"/>
      <c r="F77" s="46"/>
      <c r="G77" s="126" t="str">
        <f>IF(AND(Taux!L28=Taux!L25,Taux!L18=Taux!L16),"Pour souscrire l'assurance vie des personnes à charge, vous devez avoir l'assurance vie de base","")</f>
        <v/>
      </c>
      <c r="H77" s="91"/>
      <c r="I77" s="91"/>
      <c r="J77" s="91"/>
      <c r="K77" s="91"/>
      <c r="L77" s="91"/>
      <c r="M77" s="42"/>
      <c r="N77" s="42"/>
      <c r="O77" s="42"/>
      <c r="P77" s="42"/>
      <c r="Q77" s="42"/>
      <c r="R77" s="42"/>
      <c r="S77" s="42"/>
      <c r="T77" s="306"/>
      <c r="U77" s="42"/>
      <c r="V77" s="42"/>
      <c r="W77" s="89"/>
      <c r="X77" s="42"/>
      <c r="Y77" s="42"/>
      <c r="Z77" s="43"/>
      <c r="AA77" s="306"/>
      <c r="AB77" s="42"/>
      <c r="AC77" s="578" t="str">
        <f xml:space="preserve"> IF(AC73&gt;0,"Ce cout tient compte d'un congé de prime de 50 %, mais n'inclut pas la taxe de vente de 9 %","")</f>
        <v/>
      </c>
      <c r="AD77" s="44"/>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row>
    <row r="78" spans="1:205" s="90" customFormat="1" ht="3.75" customHeight="1" x14ac:dyDescent="0.35">
      <c r="A78" s="53"/>
      <c r="B78" s="45"/>
      <c r="C78" s="45"/>
      <c r="D78" s="92" t="str">
        <f>IF(AND(Taux!L28=Taux!L25,Taux!L18=Taux!L16),"Pour souscrire l'assurance vie des personnes à charge, vous devez avoir l'assurance vie de base","")</f>
        <v/>
      </c>
      <c r="E78" s="92"/>
      <c r="F78" s="42"/>
      <c r="G78" s="42"/>
      <c r="H78" s="42"/>
      <c r="I78" s="42"/>
      <c r="J78" s="42"/>
      <c r="K78" s="42"/>
      <c r="L78" s="42"/>
      <c r="M78" s="42"/>
      <c r="N78" s="42"/>
      <c r="O78" s="42"/>
      <c r="P78" s="42"/>
      <c r="Q78" s="42"/>
      <c r="R78" s="42"/>
      <c r="S78" s="42"/>
      <c r="T78" s="306"/>
      <c r="U78" s="42"/>
      <c r="V78" s="42"/>
      <c r="W78" s="89"/>
      <c r="X78" s="42"/>
      <c r="Y78" s="42"/>
      <c r="Z78" s="55"/>
      <c r="AA78" s="55"/>
      <c r="AB78" s="55"/>
      <c r="AC78" s="55"/>
      <c r="AD78" s="56"/>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row>
    <row r="79" spans="1:205" ht="3.75" customHeight="1" x14ac:dyDescent="0.25">
      <c r="A79" s="19"/>
      <c r="B79" s="74"/>
      <c r="C79" s="74"/>
      <c r="D79" s="74"/>
      <c r="E79" s="74"/>
      <c r="F79" s="74"/>
      <c r="G79" s="74"/>
      <c r="H79" s="74"/>
      <c r="I79" s="74"/>
      <c r="J79" s="74"/>
      <c r="K79" s="74"/>
      <c r="L79" s="74"/>
      <c r="M79" s="74"/>
      <c r="N79" s="74"/>
      <c r="O79" s="74"/>
      <c r="P79" s="74"/>
      <c r="Q79" s="74"/>
      <c r="R79" s="20"/>
      <c r="S79" s="20"/>
      <c r="T79" s="283"/>
      <c r="U79" s="20"/>
      <c r="V79" s="20"/>
      <c r="W79" s="20"/>
      <c r="X79" s="20"/>
      <c r="Y79" s="20"/>
      <c r="Z79" s="57"/>
      <c r="AA79" s="57"/>
      <c r="AB79" s="57"/>
      <c r="AC79" s="57"/>
      <c r="AD79" s="21"/>
      <c r="GS79" s="15"/>
      <c r="GT79" s="15"/>
      <c r="GU79" s="15"/>
      <c r="GV79" s="15"/>
      <c r="GW79" s="15"/>
    </row>
    <row r="80" spans="1:205" ht="30" customHeight="1" thickBot="1" x14ac:dyDescent="0.4">
      <c r="A80" s="22"/>
      <c r="B80" s="58" t="s">
        <v>22</v>
      </c>
      <c r="C80" s="58"/>
      <c r="D80" s="23"/>
      <c r="E80" s="23"/>
      <c r="F80" s="23"/>
      <c r="G80" s="23"/>
      <c r="H80" s="23"/>
      <c r="I80" s="23"/>
      <c r="J80" s="23"/>
      <c r="K80" s="23"/>
      <c r="L80" s="23"/>
      <c r="M80" s="23"/>
      <c r="N80" s="23"/>
      <c r="O80" s="23"/>
      <c r="P80" s="23"/>
      <c r="Q80" s="23"/>
      <c r="R80" s="62"/>
      <c r="S80" s="23"/>
      <c r="T80" s="429"/>
      <c r="U80" s="23"/>
      <c r="V80" s="23"/>
      <c r="W80" s="23"/>
      <c r="X80" s="23"/>
      <c r="Y80" s="23"/>
      <c r="Z80" s="30"/>
      <c r="AA80" s="30"/>
      <c r="AB80" s="30"/>
      <c r="AC80" s="30"/>
      <c r="AD80" s="25"/>
      <c r="GS80" s="15"/>
      <c r="GT80" s="15"/>
      <c r="GU80" s="15"/>
      <c r="GV80" s="15"/>
      <c r="GW80" s="15"/>
    </row>
    <row r="81" spans="1:205" ht="30" customHeight="1" thickBot="1" x14ac:dyDescent="0.4">
      <c r="A81" s="22"/>
      <c r="B81" s="26" t="s">
        <v>63</v>
      </c>
      <c r="C81" s="26"/>
      <c r="D81" s="23"/>
      <c r="E81" s="23"/>
      <c r="F81" s="23"/>
      <c r="G81" s="23"/>
      <c r="H81" s="23"/>
      <c r="I81" s="23"/>
      <c r="J81" s="23"/>
      <c r="K81" s="23"/>
      <c r="L81" s="23"/>
      <c r="M81" s="23"/>
      <c r="N81" s="23"/>
      <c r="O81" s="670" t="s">
        <v>353</v>
      </c>
      <c r="P81" s="670"/>
      <c r="Q81" s="670"/>
      <c r="R81" s="670"/>
      <c r="S81" s="670"/>
      <c r="T81" s="670"/>
      <c r="U81" s="671"/>
      <c r="V81" s="441">
        <f>Taux!R50</f>
        <v>0</v>
      </c>
      <c r="W81" s="23"/>
      <c r="X81" s="23"/>
      <c r="Y81" s="80" t="s">
        <v>113</v>
      </c>
      <c r="Z81" s="143">
        <f>IF(AND(Taux!V45&gt;0,Taux!W48&gt;0),0,Taux!V45+Taux!W48)</f>
        <v>0</v>
      </c>
      <c r="AA81" s="93"/>
      <c r="AB81" s="30"/>
      <c r="AC81" s="30"/>
      <c r="AD81" s="25"/>
      <c r="GS81" s="15"/>
      <c r="GT81" s="15"/>
      <c r="GU81" s="15"/>
      <c r="GV81" s="15"/>
      <c r="GW81" s="15"/>
    </row>
    <row r="82" spans="1:205" ht="30" customHeight="1" x14ac:dyDescent="0.35">
      <c r="A82" s="22"/>
      <c r="B82" s="26"/>
      <c r="C82" s="26"/>
      <c r="D82" s="23"/>
      <c r="E82" s="23"/>
      <c r="F82" s="23"/>
      <c r="G82" s="23"/>
      <c r="H82" s="23"/>
      <c r="I82" s="23"/>
      <c r="J82" s="23"/>
      <c r="K82" s="23"/>
      <c r="L82" s="23"/>
      <c r="M82" s="23"/>
      <c r="N82" s="23"/>
      <c r="O82" s="94"/>
      <c r="P82" s="94"/>
      <c r="Q82" s="94"/>
      <c r="R82" s="94"/>
      <c r="S82" s="94"/>
      <c r="T82" s="515"/>
      <c r="U82" s="94"/>
      <c r="V82" s="83"/>
      <c r="W82" s="23"/>
      <c r="X82" s="23"/>
      <c r="Y82" s="80"/>
      <c r="Z82" s="93"/>
      <c r="AA82" s="93"/>
      <c r="AB82" s="30"/>
      <c r="AC82" s="30"/>
      <c r="AD82" s="25"/>
      <c r="GS82" s="15"/>
      <c r="GT82" s="15"/>
      <c r="GU82" s="15"/>
      <c r="GV82" s="15"/>
      <c r="GW82" s="15"/>
    </row>
    <row r="83" spans="1:205" ht="30" customHeight="1" thickBot="1" x14ac:dyDescent="0.3">
      <c r="A83" s="22"/>
      <c r="B83" s="657" t="s">
        <v>110</v>
      </c>
      <c r="C83" s="657"/>
      <c r="D83" s="657"/>
      <c r="E83" s="657"/>
      <c r="F83" s="657"/>
      <c r="G83" s="657"/>
      <c r="H83" s="657"/>
      <c r="I83" s="23" t="s">
        <v>38</v>
      </c>
      <c r="J83" s="95"/>
      <c r="K83" s="23"/>
      <c r="L83" s="23"/>
      <c r="M83" s="23"/>
      <c r="N83" s="23"/>
      <c r="O83" s="23"/>
      <c r="P83" s="23"/>
      <c r="Q83" s="23"/>
      <c r="R83" s="690" t="s">
        <v>347</v>
      </c>
      <c r="S83" s="690"/>
      <c r="T83" s="690"/>
      <c r="U83" s="690"/>
      <c r="V83" s="690"/>
      <c r="W83" s="690"/>
      <c r="X83" s="690"/>
      <c r="Y83" s="690"/>
      <c r="Z83" s="30"/>
      <c r="AA83" s="30"/>
      <c r="AB83" s="30"/>
      <c r="AC83" s="30"/>
      <c r="AD83" s="25"/>
      <c r="GS83" s="15"/>
      <c r="GT83" s="15"/>
      <c r="GU83" s="15"/>
      <c r="GV83" s="15"/>
      <c r="GW83" s="15"/>
    </row>
    <row r="84" spans="1:205" ht="30" customHeight="1" thickBot="1" x14ac:dyDescent="0.3">
      <c r="A84" s="22"/>
      <c r="B84" s="135"/>
      <c r="C84" s="29"/>
      <c r="D84" s="658" t="str">
        <f>Taux!L37</f>
        <v>Oui</v>
      </c>
      <c r="E84" s="660"/>
      <c r="F84" s="656" t="str">
        <f>IF(COUNTBLANK(B84:B86)&lt;2,"Il ne peut y avoir qu'un seul choix de réponse",IF(COUNTBLANK(B84:B86)=3,"Vous devez faire un choix de réponse",""))</f>
        <v>Vous devez faire un choix de réponse</v>
      </c>
      <c r="G84" s="656"/>
      <c r="H84" s="656"/>
      <c r="I84" s="135"/>
      <c r="J84" s="29"/>
      <c r="K84" s="658" t="str">
        <f>Taux!L43</f>
        <v>Homme</v>
      </c>
      <c r="L84" s="659"/>
      <c r="M84" s="660"/>
      <c r="N84" s="656" t="str">
        <f>IF(COUNTBLANK(I84:I86)&lt;2,"Il ne peut y avoir qu'un seul choix de réponse",IF(COUNTBLANK(I84:I86)=3,"Vous devez faire un choix de réponse",""))</f>
        <v>Vous devez faire un choix de réponse</v>
      </c>
      <c r="O84" s="656"/>
      <c r="P84" s="656"/>
      <c r="Q84" s="656"/>
      <c r="R84" s="96"/>
      <c r="S84" s="30"/>
      <c r="T84" s="422"/>
      <c r="U84" s="448"/>
      <c r="V84" s="30" t="s">
        <v>348</v>
      </c>
      <c r="W84" s="30"/>
      <c r="X84" s="30"/>
      <c r="Y84" s="143">
        <f>IF(OR(U84=1,U84=2,U84=3,U84=4,U84=5,U84=6,U84=7),U84*20000,0)</f>
        <v>0</v>
      </c>
      <c r="Z84" s="693" t="str">
        <f>IF(AND(Y84&gt;0,Y90&gt;0),"Pour effectuer un changement à votre protection, vous devez sélectionner des tranches de 25 000$ uniquement","")</f>
        <v/>
      </c>
      <c r="AA84" s="693"/>
      <c r="AB84" s="30"/>
      <c r="AC84" s="30"/>
      <c r="AD84" s="25"/>
      <c r="GS84" s="15"/>
      <c r="GT84" s="15"/>
      <c r="GU84" s="15"/>
      <c r="GV84" s="15"/>
      <c r="GW84" s="15"/>
    </row>
    <row r="85" spans="1:205" ht="3.75" customHeight="1" thickBot="1" x14ac:dyDescent="0.3">
      <c r="A85" s="22"/>
      <c r="B85" s="30"/>
      <c r="C85" s="80"/>
      <c r="D85" s="23"/>
      <c r="E85" s="23"/>
      <c r="F85" s="656"/>
      <c r="G85" s="656"/>
      <c r="H85" s="656"/>
      <c r="I85" s="29"/>
      <c r="J85" s="29"/>
      <c r="K85" s="23"/>
      <c r="L85" s="23"/>
      <c r="M85" s="23"/>
      <c r="N85" s="656"/>
      <c r="O85" s="656"/>
      <c r="P85" s="656"/>
      <c r="Q85" s="656"/>
      <c r="R85" s="97"/>
      <c r="S85" s="28"/>
      <c r="T85" s="430"/>
      <c r="U85" s="28"/>
      <c r="V85" s="23"/>
      <c r="W85" s="23"/>
      <c r="X85" s="23"/>
      <c r="Y85" s="23"/>
      <c r="Z85" s="693"/>
      <c r="AA85" s="693"/>
      <c r="AB85" s="30"/>
      <c r="AC85" s="30"/>
      <c r="AD85" s="25"/>
      <c r="GS85" s="15"/>
      <c r="GT85" s="15"/>
      <c r="GU85" s="15"/>
      <c r="GV85" s="15"/>
      <c r="GW85" s="15"/>
    </row>
    <row r="86" spans="1:205" ht="30" customHeight="1" thickBot="1" x14ac:dyDescent="0.3">
      <c r="A86" s="22"/>
      <c r="B86" s="135"/>
      <c r="C86" s="29"/>
      <c r="D86" s="658" t="str">
        <f>Taux!L38</f>
        <v>Non</v>
      </c>
      <c r="E86" s="660"/>
      <c r="F86" s="656"/>
      <c r="G86" s="656"/>
      <c r="H86" s="656"/>
      <c r="I86" s="135"/>
      <c r="J86" s="29"/>
      <c r="K86" s="658" t="str">
        <f>Taux!L44</f>
        <v>Femme</v>
      </c>
      <c r="L86" s="659"/>
      <c r="M86" s="660"/>
      <c r="N86" s="656"/>
      <c r="O86" s="656"/>
      <c r="P86" s="656"/>
      <c r="Q86" s="656"/>
      <c r="R86" s="97"/>
      <c r="S86" s="28"/>
      <c r="T86" s="430"/>
      <c r="U86" s="28"/>
      <c r="V86" s="23"/>
      <c r="W86" s="23"/>
      <c r="X86" s="23"/>
      <c r="Y86" s="23"/>
      <c r="Z86" s="693"/>
      <c r="AA86" s="693"/>
      <c r="AB86" s="30"/>
      <c r="AC86" s="30"/>
      <c r="AD86" s="25"/>
      <c r="GS86" s="15"/>
      <c r="GT86" s="15"/>
      <c r="GU86" s="15"/>
      <c r="GV86" s="15"/>
      <c r="GW86" s="15"/>
    </row>
    <row r="87" spans="1:205" ht="3.75" customHeight="1" x14ac:dyDescent="0.25">
      <c r="A87" s="22"/>
      <c r="B87" s="30"/>
      <c r="C87" s="80"/>
      <c r="D87" s="23"/>
      <c r="E87" s="23"/>
      <c r="F87" s="29"/>
      <c r="G87" s="29"/>
      <c r="H87" s="29"/>
      <c r="I87" s="29"/>
      <c r="J87" s="29"/>
      <c r="K87" s="23"/>
      <c r="L87" s="23"/>
      <c r="M87" s="23"/>
      <c r="N87" s="77"/>
      <c r="O87" s="77"/>
      <c r="P87" s="77"/>
      <c r="Q87" s="77"/>
      <c r="R87" s="97"/>
      <c r="S87" s="28"/>
      <c r="T87" s="430"/>
      <c r="U87" s="28"/>
      <c r="V87" s="23"/>
      <c r="W87" s="23"/>
      <c r="X87" s="23"/>
      <c r="Y87" s="23"/>
      <c r="Z87" s="693"/>
      <c r="AA87" s="693"/>
      <c r="AB87" s="30"/>
      <c r="AC87" s="30"/>
      <c r="AD87" s="25"/>
      <c r="GS87" s="15"/>
      <c r="GT87" s="15"/>
      <c r="GU87" s="15"/>
      <c r="GV87" s="15"/>
      <c r="GW87" s="15"/>
    </row>
    <row r="88" spans="1:205" ht="30" customHeight="1" x14ac:dyDescent="0.25">
      <c r="A88" s="22"/>
      <c r="B88" s="29"/>
      <c r="C88" s="29"/>
      <c r="D88" s="29"/>
      <c r="E88" s="29"/>
      <c r="F88" s="29"/>
      <c r="G88" s="29"/>
      <c r="H88" s="29"/>
      <c r="I88" s="23" t="s">
        <v>38</v>
      </c>
      <c r="J88" s="29"/>
      <c r="K88" s="96"/>
      <c r="L88" s="96"/>
      <c r="M88" s="96"/>
      <c r="N88" s="77"/>
      <c r="O88" s="77"/>
      <c r="P88" s="77"/>
      <c r="Q88" s="77"/>
      <c r="R88" s="690" t="s">
        <v>354</v>
      </c>
      <c r="S88" s="690"/>
      <c r="T88" s="690"/>
      <c r="U88" s="690"/>
      <c r="V88" s="690"/>
      <c r="W88" s="690"/>
      <c r="X88" s="690"/>
      <c r="Y88" s="690"/>
      <c r="Z88" s="693"/>
      <c r="AA88" s="693"/>
      <c r="AB88" s="30"/>
      <c r="AC88" s="30"/>
      <c r="AD88" s="25"/>
      <c r="GS88" s="15"/>
      <c r="GT88" s="15"/>
      <c r="GU88" s="15"/>
      <c r="GV88" s="15"/>
      <c r="GW88" s="15"/>
    </row>
    <row r="89" spans="1:205" ht="3.75" customHeight="1" thickBot="1" x14ac:dyDescent="0.3">
      <c r="A89" s="22"/>
      <c r="B89" s="30"/>
      <c r="C89" s="80"/>
      <c r="D89" s="23"/>
      <c r="E89" s="23"/>
      <c r="F89" s="29"/>
      <c r="G89" s="29"/>
      <c r="H89" s="29"/>
      <c r="I89" s="29"/>
      <c r="J89" s="29"/>
      <c r="K89" s="23"/>
      <c r="L89" s="23"/>
      <c r="M89" s="23"/>
      <c r="N89" s="23"/>
      <c r="O89" s="23"/>
      <c r="P89" s="23"/>
      <c r="Q89" s="23"/>
      <c r="R89" s="23"/>
      <c r="S89" s="23"/>
      <c r="T89" s="429"/>
      <c r="U89" s="23"/>
      <c r="V89" s="23"/>
      <c r="W89" s="23"/>
      <c r="X89" s="23"/>
      <c r="Y89" s="23"/>
      <c r="Z89" s="30"/>
      <c r="AA89" s="30"/>
      <c r="AB89" s="30"/>
      <c r="AC89" s="30"/>
      <c r="AD89" s="25"/>
      <c r="GS89" s="15"/>
      <c r="GT89" s="15"/>
      <c r="GU89" s="15"/>
      <c r="GV89" s="15"/>
      <c r="GW89" s="15"/>
    </row>
    <row r="90" spans="1:205" ht="30" customHeight="1" thickBot="1" x14ac:dyDescent="0.3">
      <c r="A90" s="22"/>
      <c r="B90" s="708" t="s">
        <v>311</v>
      </c>
      <c r="C90" s="708"/>
      <c r="D90" s="708"/>
      <c r="E90" s="30"/>
      <c r="F90" s="29"/>
      <c r="G90" s="29"/>
      <c r="H90" s="29"/>
      <c r="I90" s="135"/>
      <c r="J90" s="29"/>
      <c r="K90" s="658" t="str">
        <f>IF(Taux!L46=Taux!L44,Taux!L51,Taux!L49)</f>
        <v>Non fumeur</v>
      </c>
      <c r="L90" s="659"/>
      <c r="M90" s="660"/>
      <c r="N90" s="656" t="str">
        <f>IF(COUNTBLANK(I90:I92)&lt;2,"Il ne peut y avoir qu'un seul choix de réponse",IF(COUNTBLANK(I90:I92)=3,"Vous devez faire un choix de réponse",""))</f>
        <v>Vous devez faire un choix de réponse</v>
      </c>
      <c r="O90" s="656"/>
      <c r="P90" s="656"/>
      <c r="Q90" s="656"/>
      <c r="R90" s="96"/>
      <c r="S90" s="30"/>
      <c r="T90" s="422"/>
      <c r="U90" s="448"/>
      <c r="V90" s="30" t="s">
        <v>349</v>
      </c>
      <c r="W90" s="30"/>
      <c r="X90" s="30"/>
      <c r="Y90" s="143">
        <f>IF(OR(U90=1,U90=2,U90=3,U90=4,U90=5,U90=6,U90=7,U90=8,U90=9,U90=10),U90*25000,0)</f>
        <v>0</v>
      </c>
      <c r="Z90" s="30"/>
      <c r="AA90" s="30"/>
      <c r="AB90" s="80" t="s">
        <v>292</v>
      </c>
      <c r="AC90" s="139">
        <f>IF(AND(F84="",N84="",N90="",Z84="",B93=""),ROUND(Z81/1000*V81,2),0)</f>
        <v>0</v>
      </c>
      <c r="AD90" s="25"/>
      <c r="GS90" s="15"/>
      <c r="GT90" s="15"/>
      <c r="GU90" s="15"/>
      <c r="GV90" s="15"/>
      <c r="GW90" s="15"/>
    </row>
    <row r="91" spans="1:205" ht="3.75" customHeight="1" thickBot="1" x14ac:dyDescent="0.3">
      <c r="A91" s="22"/>
      <c r="B91" s="98"/>
      <c r="C91" s="98"/>
      <c r="D91" s="98"/>
      <c r="E91" s="98"/>
      <c r="F91" s="98"/>
      <c r="G91" s="98"/>
      <c r="H91" s="23"/>
      <c r="I91" s="23"/>
      <c r="J91" s="23"/>
      <c r="K91" s="96"/>
      <c r="L91" s="96"/>
      <c r="M91" s="96"/>
      <c r="N91" s="656"/>
      <c r="O91" s="656"/>
      <c r="P91" s="656"/>
      <c r="Q91" s="656"/>
      <c r="R91" s="97"/>
      <c r="S91" s="28"/>
      <c r="T91" s="430"/>
      <c r="U91" s="61"/>
      <c r="V91" s="61"/>
      <c r="W91" s="23"/>
      <c r="X91" s="23"/>
      <c r="Y91" s="23"/>
      <c r="Z91" s="30"/>
      <c r="AA91" s="30"/>
      <c r="AB91" s="30"/>
      <c r="AC91" s="30"/>
      <c r="AD91" s="25"/>
      <c r="GS91" s="15"/>
      <c r="GT91" s="15"/>
      <c r="GU91" s="15"/>
      <c r="GV91" s="15"/>
      <c r="GW91" s="15"/>
    </row>
    <row r="92" spans="1:205" ht="30" customHeight="1" thickBot="1" x14ac:dyDescent="0.3">
      <c r="A92" s="22"/>
      <c r="B92" s="552" t="str">
        <f>IF(I4&gt;0,I4,"")</f>
        <v/>
      </c>
      <c r="C92" s="521" t="s">
        <v>118</v>
      </c>
      <c r="D92" s="514"/>
      <c r="E92" s="98"/>
      <c r="F92" s="98"/>
      <c r="G92" s="98"/>
      <c r="H92" s="23"/>
      <c r="I92" s="135"/>
      <c r="J92" s="23"/>
      <c r="K92" s="658" t="str">
        <f>IF(Taux!L46=Taux!L44,Taux!L52,Taux!L50)</f>
        <v>Fumeur</v>
      </c>
      <c r="L92" s="659"/>
      <c r="M92" s="660"/>
      <c r="N92" s="656"/>
      <c r="O92" s="656"/>
      <c r="P92" s="656"/>
      <c r="Q92" s="656"/>
      <c r="R92" s="97"/>
      <c r="S92" s="28"/>
      <c r="T92" s="430"/>
      <c r="U92" s="61"/>
      <c r="V92" s="61"/>
      <c r="W92" s="23"/>
      <c r="X92" s="23"/>
      <c r="Y92" s="23"/>
      <c r="Z92" s="30"/>
      <c r="AA92" s="30"/>
      <c r="AB92" s="80" t="s">
        <v>290</v>
      </c>
      <c r="AC92" s="139">
        <f>AC90*26</f>
        <v>0</v>
      </c>
      <c r="AD92" s="25"/>
      <c r="GS92" s="15"/>
      <c r="GT92" s="15"/>
      <c r="GU92" s="15"/>
      <c r="GV92" s="15"/>
      <c r="GW92" s="15"/>
    </row>
    <row r="93" spans="1:205" ht="19.5" customHeight="1" x14ac:dyDescent="0.25">
      <c r="A93" s="22"/>
      <c r="B93" s="575" t="str">
        <f>IF(I4&gt;=70,"À compter de 70 ans, l'assurance vie additonnelle pour la personne conjointe n'est plus disponible.","")</f>
        <v/>
      </c>
      <c r="C93" s="575"/>
      <c r="D93" s="575"/>
      <c r="E93" s="575"/>
      <c r="F93" s="575"/>
      <c r="G93" s="575"/>
      <c r="H93" s="575"/>
      <c r="I93" s="575"/>
      <c r="J93" s="575"/>
      <c r="K93" s="575"/>
      <c r="L93" s="575"/>
      <c r="M93" s="575"/>
      <c r="N93" s="575"/>
      <c r="O93" s="575"/>
      <c r="P93" s="575"/>
      <c r="Q93" s="575"/>
      <c r="R93" s="575"/>
      <c r="S93" s="575"/>
      <c r="T93" s="575"/>
      <c r="U93" s="575"/>
      <c r="V93" s="575"/>
      <c r="W93" s="575"/>
      <c r="X93" s="23"/>
      <c r="Y93" s="23"/>
      <c r="Z93" s="23"/>
      <c r="AA93" s="23"/>
      <c r="AB93" s="23"/>
      <c r="AC93" s="579" t="str">
        <f xml:space="preserve"> IF(AC90&gt;0,"Ce cout tient compte d'un congé de prime de 50 %, mais n'inclut pas la taxe de vente de 9 %","")</f>
        <v/>
      </c>
      <c r="AD93" s="25"/>
      <c r="GS93" s="15"/>
      <c r="GT93" s="15"/>
      <c r="GU93" s="15"/>
      <c r="GV93" s="15"/>
      <c r="GW93" s="15"/>
    </row>
    <row r="94" spans="1:205" ht="3.75" customHeight="1" x14ac:dyDescent="0.25">
      <c r="A94" s="22"/>
      <c r="B94" s="124"/>
      <c r="C94" s="124"/>
      <c r="D94" s="124"/>
      <c r="E94" s="124"/>
      <c r="F94" s="124"/>
      <c r="G94" s="124"/>
      <c r="H94" s="124"/>
      <c r="I94" s="124"/>
      <c r="J94" s="124"/>
      <c r="K94" s="124"/>
      <c r="L94" s="124"/>
      <c r="M94" s="99"/>
      <c r="N94" s="99"/>
      <c r="O94" s="99"/>
      <c r="P94" s="99"/>
      <c r="Q94" s="99"/>
      <c r="R94" s="97"/>
      <c r="S94" s="709"/>
      <c r="T94" s="709"/>
      <c r="U94" s="709"/>
      <c r="V94" s="709"/>
      <c r="W94" s="709"/>
      <c r="X94" s="709"/>
      <c r="Y94" s="709"/>
      <c r="Z94" s="23"/>
      <c r="AA94" s="30"/>
      <c r="AB94" s="30"/>
      <c r="AC94" s="24"/>
      <c r="AD94" s="25"/>
      <c r="GS94" s="15"/>
      <c r="GT94" s="15"/>
      <c r="GU94" s="15"/>
      <c r="GV94" s="15"/>
      <c r="GW94" s="15"/>
    </row>
    <row r="95" spans="1:205" ht="3.75" customHeight="1" x14ac:dyDescent="0.25">
      <c r="A95" s="100"/>
      <c r="B95" s="101"/>
      <c r="C95" s="101"/>
      <c r="D95" s="101"/>
      <c r="E95" s="101"/>
      <c r="F95" s="101"/>
      <c r="G95" s="101"/>
      <c r="H95" s="101"/>
      <c r="I95" s="101"/>
      <c r="J95" s="101"/>
      <c r="K95" s="101"/>
      <c r="L95" s="101"/>
      <c r="M95" s="101"/>
      <c r="N95" s="101"/>
      <c r="O95" s="101"/>
      <c r="P95" s="101"/>
      <c r="Q95" s="101"/>
      <c r="R95" s="102"/>
      <c r="S95" s="102"/>
      <c r="T95" s="361"/>
      <c r="U95" s="102"/>
      <c r="V95" s="102"/>
      <c r="W95" s="102"/>
      <c r="X95" s="102"/>
      <c r="Y95" s="102"/>
      <c r="Z95" s="103"/>
      <c r="AA95" s="103"/>
      <c r="AB95" s="103"/>
      <c r="AC95" s="103"/>
      <c r="AD95" s="104"/>
      <c r="GS95" s="15"/>
      <c r="GT95" s="15"/>
      <c r="GU95" s="15"/>
      <c r="GV95" s="15"/>
      <c r="GW95" s="15"/>
    </row>
    <row r="96" spans="1:205" ht="30" customHeight="1" thickBot="1" x14ac:dyDescent="0.4">
      <c r="A96" s="22"/>
      <c r="B96" s="58" t="s">
        <v>22</v>
      </c>
      <c r="C96" s="58"/>
      <c r="D96" s="23"/>
      <c r="E96" s="23"/>
      <c r="F96" s="23"/>
      <c r="G96" s="23"/>
      <c r="H96" s="23"/>
      <c r="I96" s="23"/>
      <c r="J96" s="23"/>
      <c r="K96" s="23"/>
      <c r="L96" s="23"/>
      <c r="M96" s="23"/>
      <c r="N96" s="23"/>
      <c r="O96" s="23"/>
      <c r="P96" s="23"/>
      <c r="Q96" s="23"/>
      <c r="R96" s="62"/>
      <c r="S96" s="23"/>
      <c r="T96" s="429"/>
      <c r="U96" s="23"/>
      <c r="V96" s="23"/>
      <c r="W96" s="23"/>
      <c r="X96" s="23"/>
      <c r="Y96" s="23"/>
      <c r="Z96" s="30"/>
      <c r="AA96" s="30"/>
      <c r="AB96" s="30"/>
      <c r="AC96" s="30"/>
      <c r="AD96" s="25"/>
      <c r="GS96" s="15"/>
      <c r="GT96" s="15"/>
      <c r="GU96" s="15"/>
      <c r="GV96" s="15"/>
      <c r="GW96" s="15"/>
    </row>
    <row r="97" spans="1:205" ht="30" customHeight="1" thickBot="1" x14ac:dyDescent="0.4">
      <c r="A97" s="22"/>
      <c r="B97" s="26" t="s">
        <v>64</v>
      </c>
      <c r="C97" s="26"/>
      <c r="D97" s="23"/>
      <c r="E97" s="23"/>
      <c r="F97" s="23"/>
      <c r="G97" s="23"/>
      <c r="H97" s="23"/>
      <c r="I97" s="23"/>
      <c r="J97" s="23"/>
      <c r="K97" s="23"/>
      <c r="L97" s="23"/>
      <c r="M97" s="23"/>
      <c r="N97" s="23"/>
      <c r="O97" s="668" t="s">
        <v>355</v>
      </c>
      <c r="P97" s="668"/>
      <c r="Q97" s="668"/>
      <c r="R97" s="668"/>
      <c r="S97" s="668"/>
      <c r="T97" s="668"/>
      <c r="U97" s="669"/>
      <c r="V97" s="136">
        <f>Taux!R52</f>
        <v>0</v>
      </c>
      <c r="W97" s="23"/>
      <c r="X97" s="23"/>
      <c r="Y97" s="80" t="s">
        <v>113</v>
      </c>
      <c r="Z97" s="143">
        <f>IF(AND(Y100&gt;0,Y106&gt;0),0,Y100+Y106)</f>
        <v>0</v>
      </c>
      <c r="AA97" s="93"/>
      <c r="AB97" s="30"/>
      <c r="AC97" s="30"/>
      <c r="AD97" s="25"/>
      <c r="GS97" s="15"/>
      <c r="GT97" s="15"/>
      <c r="GU97" s="15"/>
      <c r="GV97" s="15"/>
      <c r="GW97" s="15"/>
    </row>
    <row r="98" spans="1:205" ht="30" customHeight="1" x14ac:dyDescent="0.35">
      <c r="A98" s="22"/>
      <c r="B98" s="26"/>
      <c r="C98" s="26"/>
      <c r="D98" s="23"/>
      <c r="E98" s="23"/>
      <c r="F98" s="23"/>
      <c r="G98" s="23"/>
      <c r="H98" s="23"/>
      <c r="I98" s="23"/>
      <c r="J98" s="23"/>
      <c r="K98" s="23"/>
      <c r="L98" s="23"/>
      <c r="M98" s="23"/>
      <c r="N98" s="23"/>
      <c r="O98" s="94"/>
      <c r="P98" s="94"/>
      <c r="Q98" s="94"/>
      <c r="R98" s="94"/>
      <c r="S98" s="94"/>
      <c r="T98" s="515"/>
      <c r="U98" s="94"/>
      <c r="V98" s="83"/>
      <c r="W98" s="23"/>
      <c r="X98" s="23"/>
      <c r="Y98" s="80"/>
      <c r="Z98" s="93"/>
      <c r="AA98" s="93"/>
      <c r="AB98" s="30"/>
      <c r="AC98" s="30"/>
      <c r="AD98" s="25"/>
      <c r="GS98" s="15"/>
      <c r="GT98" s="15"/>
      <c r="GU98" s="15"/>
      <c r="GV98" s="15"/>
      <c r="GW98" s="15"/>
    </row>
    <row r="99" spans="1:205" ht="30" customHeight="1" thickBot="1" x14ac:dyDescent="0.3">
      <c r="A99" s="22"/>
      <c r="B99" s="657" t="s">
        <v>110</v>
      </c>
      <c r="C99" s="657"/>
      <c r="D99" s="657"/>
      <c r="E99" s="657"/>
      <c r="F99" s="657"/>
      <c r="G99" s="657"/>
      <c r="H99" s="657"/>
      <c r="I99" s="23" t="s">
        <v>38</v>
      </c>
      <c r="J99" s="95"/>
      <c r="K99" s="23"/>
      <c r="L99" s="23"/>
      <c r="M99" s="23"/>
      <c r="N99" s="23"/>
      <c r="O99" s="23"/>
      <c r="P99" s="23"/>
      <c r="Q99" s="23"/>
      <c r="R99" s="690" t="s">
        <v>347</v>
      </c>
      <c r="S99" s="690"/>
      <c r="T99" s="690"/>
      <c r="U99" s="690"/>
      <c r="V99" s="690"/>
      <c r="W99" s="690"/>
      <c r="X99" s="690"/>
      <c r="Y99" s="690"/>
      <c r="Z99" s="30"/>
      <c r="AA99" s="30"/>
      <c r="AB99" s="30"/>
      <c r="AC99" s="30"/>
      <c r="AD99" s="25"/>
      <c r="GS99" s="15"/>
      <c r="GT99" s="15"/>
      <c r="GU99" s="15"/>
      <c r="GV99" s="15"/>
      <c r="GW99" s="15"/>
    </row>
    <row r="100" spans="1:205" ht="30" customHeight="1" thickBot="1" x14ac:dyDescent="0.3">
      <c r="A100" s="22"/>
      <c r="B100" s="135"/>
      <c r="C100" s="29"/>
      <c r="D100" s="658" t="str">
        <f>Taux!N37</f>
        <v>Oui</v>
      </c>
      <c r="E100" s="660"/>
      <c r="F100" s="656" t="str">
        <f>IF(COUNTBLANK(B100:B102)&lt;2,"Il ne peut y avoir qu'un seul choix de réponse",IF(COUNTBLANK(B100:B102)=3,"Vous devez faire un choix de réponse",""))</f>
        <v>Vous devez faire un choix de réponse</v>
      </c>
      <c r="G100" s="656"/>
      <c r="H100" s="656"/>
      <c r="I100" s="135"/>
      <c r="J100" s="29"/>
      <c r="K100" s="658" t="str">
        <f>Taux!N43</f>
        <v>Homme</v>
      </c>
      <c r="L100" s="659"/>
      <c r="M100" s="660"/>
      <c r="N100" s="656" t="str">
        <f>IF(COUNTBLANK(I100:I102)&lt;2,"Il ne peut y avoir qu'un seul choix de réponse",IF(COUNTBLANK(I100:I102)=3,"Vous devez faire un choix de réponse",""))</f>
        <v>Vous devez faire un choix de réponse</v>
      </c>
      <c r="O100" s="656"/>
      <c r="P100" s="656"/>
      <c r="Q100" s="656"/>
      <c r="R100" s="96"/>
      <c r="S100" s="30"/>
      <c r="T100" s="422"/>
      <c r="U100" s="448"/>
      <c r="V100" s="30" t="s">
        <v>375</v>
      </c>
      <c r="W100" s="30"/>
      <c r="X100" s="30"/>
      <c r="Y100" s="143">
        <f>IF(OR(U100=1,U100=2,U100=3,U100=4,U100=5,U100=6,U100=7),U100*20000,0)</f>
        <v>0</v>
      </c>
      <c r="Z100" s="693" t="str">
        <f>IF(AND(Y100&gt;0,Y106&gt;0),"Pour effectuer un changement à votre protection, vous devez sélectionner des tranches de 25 000$ uniquement","")</f>
        <v/>
      </c>
      <c r="AA100" s="693"/>
      <c r="AB100" s="30"/>
      <c r="AC100" s="30"/>
      <c r="AD100" s="25"/>
      <c r="GS100" s="15"/>
      <c r="GT100" s="15"/>
      <c r="GU100" s="15"/>
      <c r="GV100" s="15"/>
      <c r="GW100" s="15"/>
    </row>
    <row r="101" spans="1:205" ht="3.75" customHeight="1" thickBot="1" x14ac:dyDescent="0.3">
      <c r="A101" s="22"/>
      <c r="B101" s="30"/>
      <c r="C101" s="80"/>
      <c r="D101" s="23"/>
      <c r="E101" s="23"/>
      <c r="F101" s="656"/>
      <c r="G101" s="656"/>
      <c r="H101" s="656"/>
      <c r="I101" s="29"/>
      <c r="J101" s="29"/>
      <c r="K101" s="23"/>
      <c r="L101" s="23"/>
      <c r="M101" s="23"/>
      <c r="N101" s="656"/>
      <c r="O101" s="656"/>
      <c r="P101" s="656"/>
      <c r="Q101" s="656"/>
      <c r="R101" s="97"/>
      <c r="S101" s="28"/>
      <c r="T101" s="430"/>
      <c r="U101" s="28"/>
      <c r="V101" s="23"/>
      <c r="W101" s="23"/>
      <c r="X101" s="23"/>
      <c r="Y101" s="23"/>
      <c r="Z101" s="693"/>
      <c r="AA101" s="693"/>
      <c r="AB101" s="30"/>
      <c r="AC101" s="30"/>
      <c r="AD101" s="25"/>
      <c r="GS101" s="15"/>
      <c r="GT101" s="15"/>
      <c r="GU101" s="15"/>
      <c r="GV101" s="15"/>
      <c r="GW101" s="15"/>
    </row>
    <row r="102" spans="1:205" ht="30" customHeight="1" thickBot="1" x14ac:dyDescent="0.3">
      <c r="A102" s="22"/>
      <c r="B102" s="135"/>
      <c r="C102" s="29"/>
      <c r="D102" s="658" t="str">
        <f>Taux!N38</f>
        <v>Non</v>
      </c>
      <c r="E102" s="660"/>
      <c r="F102" s="656"/>
      <c r="G102" s="656"/>
      <c r="H102" s="656"/>
      <c r="I102" s="135"/>
      <c r="J102" s="29"/>
      <c r="K102" s="658" t="str">
        <f>Taux!N44</f>
        <v>Femme</v>
      </c>
      <c r="L102" s="659"/>
      <c r="M102" s="660"/>
      <c r="N102" s="656"/>
      <c r="O102" s="656"/>
      <c r="P102" s="656"/>
      <c r="Q102" s="656"/>
      <c r="R102" s="97"/>
      <c r="S102" s="28"/>
      <c r="T102" s="430"/>
      <c r="U102" s="28"/>
      <c r="V102" s="23"/>
      <c r="W102" s="23"/>
      <c r="X102" s="23"/>
      <c r="Y102" s="23"/>
      <c r="Z102" s="693"/>
      <c r="AA102" s="693"/>
      <c r="AB102" s="30"/>
      <c r="AC102" s="30"/>
      <c r="AD102" s="25"/>
      <c r="GS102" s="15"/>
      <c r="GT102" s="15"/>
      <c r="GU102" s="15"/>
      <c r="GV102" s="15"/>
      <c r="GW102" s="15"/>
    </row>
    <row r="103" spans="1:205" ht="3.75" customHeight="1" x14ac:dyDescent="0.25">
      <c r="A103" s="22"/>
      <c r="B103" s="30"/>
      <c r="C103" s="80"/>
      <c r="D103" s="23"/>
      <c r="E103" s="23"/>
      <c r="F103" s="29"/>
      <c r="G103" s="29"/>
      <c r="H103" s="29"/>
      <c r="I103" s="29"/>
      <c r="J103" s="29"/>
      <c r="K103" s="23"/>
      <c r="L103" s="23"/>
      <c r="M103" s="23"/>
      <c r="N103" s="77"/>
      <c r="O103" s="77"/>
      <c r="P103" s="77"/>
      <c r="Q103" s="77"/>
      <c r="R103" s="97"/>
      <c r="S103" s="28"/>
      <c r="T103" s="430"/>
      <c r="U103" s="28"/>
      <c r="V103" s="23"/>
      <c r="W103" s="23"/>
      <c r="X103" s="23"/>
      <c r="Y103" s="23"/>
      <c r="Z103" s="693"/>
      <c r="AA103" s="693"/>
      <c r="AB103" s="30"/>
      <c r="AC103" s="30"/>
      <c r="AD103" s="25"/>
      <c r="GS103" s="15"/>
      <c r="GT103" s="15"/>
      <c r="GU103" s="15"/>
      <c r="GV103" s="15"/>
      <c r="GW103" s="15"/>
    </row>
    <row r="104" spans="1:205" ht="30" customHeight="1" x14ac:dyDescent="0.25">
      <c r="A104" s="22"/>
      <c r="B104" s="29"/>
      <c r="C104" s="29"/>
      <c r="D104" s="29"/>
      <c r="E104" s="29"/>
      <c r="F104" s="29"/>
      <c r="G104" s="29"/>
      <c r="H104" s="29"/>
      <c r="I104" s="28" t="s">
        <v>38</v>
      </c>
      <c r="J104" s="29"/>
      <c r="K104" s="96"/>
      <c r="L104" s="96"/>
      <c r="M104" s="96"/>
      <c r="N104" s="77"/>
      <c r="O104" s="77"/>
      <c r="P104" s="77"/>
      <c r="Q104" s="77"/>
      <c r="R104" s="690" t="s">
        <v>354</v>
      </c>
      <c r="S104" s="690"/>
      <c r="T104" s="690"/>
      <c r="U104" s="690"/>
      <c r="V104" s="690"/>
      <c r="W104" s="690"/>
      <c r="X104" s="690"/>
      <c r="Y104" s="690"/>
      <c r="Z104" s="693"/>
      <c r="AA104" s="693"/>
      <c r="AB104" s="30"/>
      <c r="AC104" s="30"/>
      <c r="AD104" s="25"/>
      <c r="GS104" s="15"/>
      <c r="GT104" s="15"/>
      <c r="GU104" s="15"/>
      <c r="GV104" s="15"/>
      <c r="GW104" s="15"/>
    </row>
    <row r="105" spans="1:205" ht="3.75" customHeight="1" thickBot="1" x14ac:dyDescent="0.3">
      <c r="A105" s="22"/>
      <c r="B105" s="30"/>
      <c r="C105" s="80"/>
      <c r="D105" s="23"/>
      <c r="E105" s="23"/>
      <c r="F105" s="29"/>
      <c r="G105" s="29"/>
      <c r="H105" s="29"/>
      <c r="I105" s="29"/>
      <c r="J105" s="29"/>
      <c r="K105" s="23"/>
      <c r="L105" s="23"/>
      <c r="M105" s="23"/>
      <c r="N105" s="23"/>
      <c r="O105" s="23"/>
      <c r="P105" s="23"/>
      <c r="Q105" s="23"/>
      <c r="R105" s="23"/>
      <c r="S105" s="23"/>
      <c r="T105" s="429"/>
      <c r="U105" s="23"/>
      <c r="V105" s="23"/>
      <c r="W105" s="23"/>
      <c r="X105" s="23"/>
      <c r="Y105" s="23"/>
      <c r="Z105" s="30"/>
      <c r="AA105" s="30"/>
      <c r="AB105" s="30"/>
      <c r="AC105" s="30"/>
      <c r="AD105" s="25"/>
      <c r="GS105" s="15"/>
      <c r="GT105" s="15"/>
      <c r="GU105" s="15"/>
      <c r="GV105" s="15"/>
      <c r="GW105" s="15"/>
    </row>
    <row r="106" spans="1:205" ht="30" customHeight="1" thickBot="1" x14ac:dyDescent="0.3">
      <c r="A106" s="22"/>
      <c r="B106" s="657" t="s">
        <v>119</v>
      </c>
      <c r="C106" s="657"/>
      <c r="D106" s="657"/>
      <c r="E106" s="657"/>
      <c r="F106" s="657"/>
      <c r="G106" s="29"/>
      <c r="H106" s="29"/>
      <c r="I106" s="135"/>
      <c r="J106" s="29"/>
      <c r="K106" s="658" t="str">
        <f>IF(Taux!N46=Taux!N44,Taux!N51,Taux!N49)</f>
        <v>Non fumeuse</v>
      </c>
      <c r="L106" s="659"/>
      <c r="M106" s="660"/>
      <c r="N106" s="656" t="str">
        <f>IF(COUNTBLANK(I106:I108)&lt;2,"Il ne peut y avoir qu'un seul choix de réponse",IF(COUNTBLANK(I106:I108)=3,"Vous devez faire un choix de réponse",""))</f>
        <v>Vous devez faire un choix de réponse</v>
      </c>
      <c r="O106" s="656"/>
      <c r="P106" s="656"/>
      <c r="Q106" s="656"/>
      <c r="R106" s="96"/>
      <c r="S106" s="30"/>
      <c r="T106" s="422"/>
      <c r="U106" s="448"/>
      <c r="V106" s="30" t="s">
        <v>350</v>
      </c>
      <c r="W106" s="30"/>
      <c r="X106" s="30"/>
      <c r="Y106" s="143">
        <f>IF(OR(U106=1,U106=2,U106=3,U106=4,U106=5,U106=6,U106=7,U106=8,U106=9,U106=10),U106*25000,0)</f>
        <v>0</v>
      </c>
      <c r="Z106" s="30"/>
      <c r="AA106" s="30"/>
      <c r="AB106" s="80" t="s">
        <v>292</v>
      </c>
      <c r="AC106" s="442">
        <f>IF(AND(F100="",N100="",N106="",Z100="",B109=""),ROUND(Z97/1000*V97,2),0)</f>
        <v>0</v>
      </c>
      <c r="AD106" s="25"/>
      <c r="GS106" s="15"/>
      <c r="GT106" s="15"/>
      <c r="GU106" s="15"/>
      <c r="GV106" s="15"/>
      <c r="GW106" s="15"/>
    </row>
    <row r="107" spans="1:205" ht="3.75" customHeight="1" thickBot="1" x14ac:dyDescent="0.3">
      <c r="A107" s="22"/>
      <c r="B107" s="98"/>
      <c r="C107" s="98"/>
      <c r="D107" s="98"/>
      <c r="E107" s="98"/>
      <c r="F107" s="98"/>
      <c r="G107" s="98"/>
      <c r="H107" s="23"/>
      <c r="I107" s="23"/>
      <c r="J107" s="23"/>
      <c r="K107" s="96"/>
      <c r="L107" s="96"/>
      <c r="M107" s="96"/>
      <c r="N107" s="656"/>
      <c r="O107" s="656"/>
      <c r="P107" s="656"/>
      <c r="Q107" s="656"/>
      <c r="R107" s="97"/>
      <c r="S107" s="28"/>
      <c r="T107" s="430"/>
      <c r="U107" s="61"/>
      <c r="V107" s="61"/>
      <c r="W107" s="23"/>
      <c r="X107" s="23"/>
      <c r="Y107" s="23"/>
      <c r="Z107" s="30"/>
      <c r="AA107" s="30"/>
      <c r="AB107" s="30"/>
      <c r="AC107" s="80"/>
      <c r="AD107" s="25"/>
      <c r="GS107" s="15"/>
      <c r="GT107" s="15"/>
      <c r="GU107" s="15"/>
      <c r="GV107" s="15"/>
      <c r="GW107" s="15"/>
    </row>
    <row r="108" spans="1:205" ht="30" customHeight="1" thickBot="1" x14ac:dyDescent="0.3">
      <c r="A108" s="22"/>
      <c r="B108" s="451"/>
      <c r="C108" s="141" t="s">
        <v>118</v>
      </c>
      <c r="D108" s="452"/>
      <c r="E108" s="133"/>
      <c r="F108" s="98"/>
      <c r="G108" s="98"/>
      <c r="H108" s="23"/>
      <c r="I108" s="135"/>
      <c r="J108" s="23"/>
      <c r="K108" s="658" t="str">
        <f>IF(Taux!N46=Taux!N44,Taux!N52,Taux!N50)</f>
        <v>Fumeuse</v>
      </c>
      <c r="L108" s="659"/>
      <c r="M108" s="660"/>
      <c r="N108" s="656"/>
      <c r="O108" s="656"/>
      <c r="P108" s="656"/>
      <c r="Q108" s="656"/>
      <c r="R108" s="97"/>
      <c r="S108" s="28"/>
      <c r="T108" s="430"/>
      <c r="U108" s="61"/>
      <c r="V108" s="61"/>
      <c r="W108" s="23"/>
      <c r="X108" s="23"/>
      <c r="Y108" s="23"/>
      <c r="Z108" s="30"/>
      <c r="AA108" s="30"/>
      <c r="AB108" s="80" t="s">
        <v>290</v>
      </c>
      <c r="AC108" s="442">
        <f>AC106*26</f>
        <v>0</v>
      </c>
      <c r="AD108" s="25"/>
      <c r="GS108" s="15"/>
      <c r="GT108" s="15"/>
      <c r="GU108" s="15"/>
      <c r="GV108" s="15"/>
      <c r="GW108" s="15"/>
    </row>
    <row r="109" spans="1:205" ht="30" customHeight="1" x14ac:dyDescent="0.25">
      <c r="A109" s="22"/>
      <c r="B109" s="705" t="str">
        <f>IF(B108&gt;=70,"À compter de 70 ans, l'assurance vie additonnelle pour la personne conjointe n'est plus disponible.","")</f>
        <v/>
      </c>
      <c r="C109" s="705"/>
      <c r="D109" s="705"/>
      <c r="E109" s="705"/>
      <c r="F109" s="705"/>
      <c r="G109" s="705"/>
      <c r="H109" s="705"/>
      <c r="I109" s="705"/>
      <c r="J109" s="705"/>
      <c r="K109" s="705"/>
      <c r="L109" s="705"/>
      <c r="M109" s="705"/>
      <c r="N109" s="705"/>
      <c r="O109" s="705"/>
      <c r="P109" s="705"/>
      <c r="Q109" s="705"/>
      <c r="R109" s="705"/>
      <c r="S109" s="705"/>
      <c r="T109" s="705"/>
      <c r="U109" s="705"/>
      <c r="V109" s="61"/>
      <c r="W109" s="61"/>
      <c r="X109" s="23"/>
      <c r="Y109" s="23"/>
      <c r="Z109" s="23"/>
      <c r="AA109" s="23"/>
      <c r="AB109" s="23"/>
      <c r="AC109" s="579" t="str">
        <f xml:space="preserve"> IF(AC106&gt;0,"Ce cout tient compte d'un congé de prime de 50 %, mais n'inclut pas la taxe de vente de 9 %","")</f>
        <v/>
      </c>
      <c r="AD109" s="25"/>
      <c r="GS109" s="15"/>
      <c r="GT109" s="15"/>
      <c r="GU109" s="15"/>
      <c r="GV109" s="15"/>
      <c r="GW109" s="15"/>
    </row>
    <row r="110" spans="1:205" ht="3.75" customHeight="1" x14ac:dyDescent="0.25">
      <c r="A110" s="63"/>
      <c r="B110" s="125"/>
      <c r="C110" s="125"/>
      <c r="D110" s="125"/>
      <c r="E110" s="125"/>
      <c r="F110" s="125"/>
      <c r="G110" s="125"/>
      <c r="H110" s="125"/>
      <c r="I110" s="125"/>
      <c r="J110" s="125"/>
      <c r="K110" s="125"/>
      <c r="L110" s="125"/>
      <c r="M110" s="105"/>
      <c r="N110" s="105"/>
      <c r="O110" s="105"/>
      <c r="P110" s="105"/>
      <c r="Q110" s="105"/>
      <c r="R110" s="106"/>
      <c r="S110" s="706"/>
      <c r="T110" s="706"/>
      <c r="U110" s="706"/>
      <c r="V110" s="706"/>
      <c r="W110" s="706"/>
      <c r="X110" s="706"/>
      <c r="Y110" s="706"/>
      <c r="Z110" s="107"/>
      <c r="AA110" s="65"/>
      <c r="AB110" s="108"/>
      <c r="AC110" s="109"/>
      <c r="AD110" s="110"/>
      <c r="GS110" s="15"/>
      <c r="GT110" s="15"/>
      <c r="GU110" s="15"/>
      <c r="GV110" s="15"/>
      <c r="GW110" s="15"/>
    </row>
    <row r="111" spans="1:205" ht="30" customHeight="1" thickBot="1" x14ac:dyDescent="0.3">
      <c r="A111" s="34"/>
      <c r="B111" s="111" t="s">
        <v>293</v>
      </c>
      <c r="C111" s="111"/>
      <c r="D111" s="36"/>
      <c r="E111" s="36"/>
      <c r="F111" s="36"/>
      <c r="G111" s="36"/>
      <c r="H111" s="36"/>
      <c r="I111" s="36"/>
      <c r="J111" s="696" t="s">
        <v>346</v>
      </c>
      <c r="K111" s="697"/>
      <c r="L111" s="697"/>
      <c r="M111" s="697"/>
      <c r="N111" s="697"/>
      <c r="O111" s="697"/>
      <c r="P111" s="697"/>
      <c r="Q111" s="697"/>
      <c r="R111" s="697"/>
      <c r="S111" s="697"/>
      <c r="T111" s="697"/>
      <c r="U111" s="697"/>
      <c r="V111" s="697"/>
      <c r="W111" s="697"/>
      <c r="X111" s="698"/>
      <c r="Y111" s="112"/>
      <c r="Z111" s="37"/>
      <c r="AA111" s="37"/>
      <c r="AB111" s="37"/>
      <c r="AC111" s="37"/>
      <c r="AD111" s="38"/>
      <c r="GS111" s="15"/>
      <c r="GT111" s="15"/>
      <c r="GU111" s="15"/>
      <c r="GV111" s="15"/>
      <c r="GW111" s="15"/>
    </row>
    <row r="112" spans="1:205" ht="30" customHeight="1" thickBot="1" x14ac:dyDescent="0.3">
      <c r="A112" s="39"/>
      <c r="B112" s="113"/>
      <c r="C112" s="113"/>
      <c r="D112" s="42"/>
      <c r="E112" s="42"/>
      <c r="F112" s="114"/>
      <c r="G112" s="42"/>
      <c r="H112" s="114"/>
      <c r="I112" s="114"/>
      <c r="J112" s="699"/>
      <c r="K112" s="700"/>
      <c r="L112" s="700"/>
      <c r="M112" s="700"/>
      <c r="N112" s="700"/>
      <c r="O112" s="700"/>
      <c r="P112" s="700"/>
      <c r="Q112" s="700"/>
      <c r="R112" s="700"/>
      <c r="S112" s="700"/>
      <c r="T112" s="700"/>
      <c r="U112" s="700"/>
      <c r="V112" s="700"/>
      <c r="W112" s="700"/>
      <c r="X112" s="701"/>
      <c r="Y112" s="115"/>
      <c r="Z112" s="43"/>
      <c r="AA112" s="43"/>
      <c r="AB112" s="49" t="s">
        <v>292</v>
      </c>
      <c r="AC112" s="440">
        <f>AC106+AC90+AC73+AC65+AC49+AC36+AC23+AC11</f>
        <v>0</v>
      </c>
      <c r="AD112" s="44"/>
      <c r="GS112" s="15"/>
      <c r="GT112" s="15"/>
      <c r="GU112" s="15"/>
      <c r="GV112" s="15"/>
      <c r="GW112" s="15"/>
    </row>
    <row r="113" spans="1:205" ht="30" customHeight="1" thickBot="1" x14ac:dyDescent="0.3">
      <c r="A113" s="39"/>
      <c r="B113" s="42"/>
      <c r="C113" s="42"/>
      <c r="D113" s="42"/>
      <c r="E113" s="42"/>
      <c r="F113" s="42"/>
      <c r="G113" s="116"/>
      <c r="H113" s="116"/>
      <c r="I113" s="114"/>
      <c r="J113" s="702"/>
      <c r="K113" s="703"/>
      <c r="L113" s="703"/>
      <c r="M113" s="703"/>
      <c r="N113" s="703"/>
      <c r="O113" s="703"/>
      <c r="P113" s="703"/>
      <c r="Q113" s="703"/>
      <c r="R113" s="703"/>
      <c r="S113" s="703"/>
      <c r="T113" s="703"/>
      <c r="U113" s="703"/>
      <c r="V113" s="703"/>
      <c r="W113" s="703"/>
      <c r="X113" s="704"/>
      <c r="Y113" s="115"/>
      <c r="Z113" s="43"/>
      <c r="AA113" s="43"/>
      <c r="AB113" s="49" t="s">
        <v>138</v>
      </c>
      <c r="AC113" s="440">
        <f>ROUND(AC112*0.09,2)</f>
        <v>0</v>
      </c>
      <c r="AD113" s="44"/>
      <c r="AF113" s="117"/>
      <c r="GS113" s="15"/>
      <c r="GT113" s="15"/>
      <c r="GU113" s="15"/>
      <c r="GV113" s="15"/>
      <c r="GW113" s="15"/>
    </row>
    <row r="114" spans="1:205" ht="30" customHeight="1" thickBot="1" x14ac:dyDescent="0.3">
      <c r="A114" s="39"/>
      <c r="B114" s="42"/>
      <c r="C114" s="42"/>
      <c r="D114" s="42"/>
      <c r="E114" s="42"/>
      <c r="F114" s="42"/>
      <c r="G114" s="116"/>
      <c r="H114" s="116"/>
      <c r="I114" s="42"/>
      <c r="J114" s="42"/>
      <c r="K114" s="42"/>
      <c r="L114" s="42"/>
      <c r="M114" s="42"/>
      <c r="N114" s="42"/>
      <c r="O114" s="42"/>
      <c r="P114" s="42"/>
      <c r="Q114" s="42"/>
      <c r="R114" s="42"/>
      <c r="S114" s="42"/>
      <c r="T114" s="306"/>
      <c r="U114" s="42"/>
      <c r="V114" s="42"/>
      <c r="W114" s="42"/>
      <c r="X114" s="42"/>
      <c r="Y114" s="42"/>
      <c r="Z114" s="43"/>
      <c r="AA114" s="43"/>
      <c r="AB114" s="49" t="s">
        <v>294</v>
      </c>
      <c r="AC114" s="137">
        <f>AC112+AC113</f>
        <v>0</v>
      </c>
      <c r="AD114" s="44"/>
      <c r="AF114" s="117"/>
      <c r="GS114" s="15"/>
      <c r="GT114" s="15"/>
      <c r="GU114" s="15"/>
      <c r="GV114" s="15"/>
      <c r="GW114" s="15"/>
    </row>
    <row r="115" spans="1:205" ht="15" customHeight="1" thickBot="1" x14ac:dyDescent="0.3">
      <c r="A115" s="39"/>
      <c r="B115" s="42"/>
      <c r="C115" s="42"/>
      <c r="D115" s="42"/>
      <c r="E115" s="42"/>
      <c r="F115" s="42"/>
      <c r="G115" s="116"/>
      <c r="H115" s="116"/>
      <c r="I115" s="42"/>
      <c r="J115" s="42"/>
      <c r="K115" s="42"/>
      <c r="L115" s="42"/>
      <c r="M115" s="42"/>
      <c r="N115" s="42"/>
      <c r="O115" s="42"/>
      <c r="P115" s="42"/>
      <c r="Q115" s="42"/>
      <c r="R115" s="42"/>
      <c r="S115" s="42"/>
      <c r="T115" s="306"/>
      <c r="U115" s="42"/>
      <c r="V115" s="42"/>
      <c r="W115" s="42"/>
      <c r="X115" s="42"/>
      <c r="Y115" s="42"/>
      <c r="Z115" s="43"/>
      <c r="AA115" s="43"/>
      <c r="AB115" s="43"/>
      <c r="AC115" s="142"/>
      <c r="AD115" s="44"/>
      <c r="AF115" s="117"/>
      <c r="GS115" s="15"/>
      <c r="GT115" s="15"/>
      <c r="GU115" s="15"/>
      <c r="GV115" s="15"/>
      <c r="GW115" s="15"/>
    </row>
    <row r="116" spans="1:205" ht="30" customHeight="1" thickBot="1" x14ac:dyDescent="0.3">
      <c r="A116" s="39"/>
      <c r="B116" s="42"/>
      <c r="C116" s="42"/>
      <c r="D116" s="42"/>
      <c r="E116" s="42"/>
      <c r="F116" s="42"/>
      <c r="G116" s="116"/>
      <c r="H116" s="116"/>
      <c r="I116" s="42"/>
      <c r="J116" s="42"/>
      <c r="K116" s="42"/>
      <c r="L116" s="42"/>
      <c r="M116" s="42"/>
      <c r="N116" s="42"/>
      <c r="O116" s="42"/>
      <c r="P116" s="42"/>
      <c r="Q116" s="42"/>
      <c r="R116" s="42"/>
      <c r="S116" s="42"/>
      <c r="T116" s="306"/>
      <c r="U116" s="42"/>
      <c r="V116" s="42"/>
      <c r="W116" s="42"/>
      <c r="X116" s="42"/>
      <c r="Y116" s="42"/>
      <c r="Z116" s="43"/>
      <c r="AA116" s="43"/>
      <c r="AB116" s="118" t="s">
        <v>114</v>
      </c>
      <c r="AC116" s="449">
        <v>0</v>
      </c>
      <c r="AD116" s="119"/>
      <c r="AF116" s="117"/>
      <c r="GS116" s="15"/>
      <c r="GT116" s="15"/>
      <c r="GU116" s="15"/>
      <c r="GV116" s="15"/>
      <c r="GW116" s="15"/>
    </row>
    <row r="117" spans="1:205" ht="15" customHeight="1" thickBot="1" x14ac:dyDescent="0.3">
      <c r="A117" s="39"/>
      <c r="B117" s="42"/>
      <c r="C117" s="42"/>
      <c r="D117" s="42"/>
      <c r="E117" s="42"/>
      <c r="F117" s="42"/>
      <c r="G117" s="116"/>
      <c r="H117" s="116"/>
      <c r="I117" s="42"/>
      <c r="J117" s="42"/>
      <c r="K117" s="42"/>
      <c r="L117" s="42"/>
      <c r="M117" s="42"/>
      <c r="N117" s="42"/>
      <c r="O117" s="42"/>
      <c r="P117" s="42"/>
      <c r="Q117" s="42"/>
      <c r="R117" s="42"/>
      <c r="S117" s="42"/>
      <c r="T117" s="306"/>
      <c r="U117" s="42"/>
      <c r="V117" s="42"/>
      <c r="W117" s="42"/>
      <c r="X117" s="42"/>
      <c r="Y117" s="42"/>
      <c r="Z117" s="43"/>
      <c r="AA117" s="43"/>
      <c r="AB117" s="120" t="s">
        <v>140</v>
      </c>
      <c r="AC117" s="142"/>
      <c r="AD117" s="44"/>
      <c r="AF117" s="117"/>
      <c r="GS117" s="15"/>
      <c r="GT117" s="15"/>
      <c r="GU117" s="15"/>
      <c r="GV117" s="15"/>
      <c r="GW117" s="15"/>
    </row>
    <row r="118" spans="1:205" ht="29.25" customHeight="1" thickBot="1" x14ac:dyDescent="0.3">
      <c r="A118" s="39"/>
      <c r="B118" s="42"/>
      <c r="C118" s="42"/>
      <c r="D118" s="42"/>
      <c r="E118" s="42"/>
      <c r="F118" s="42"/>
      <c r="G118" s="116"/>
      <c r="H118" s="116"/>
      <c r="I118" s="42"/>
      <c r="J118" s="42"/>
      <c r="K118" s="42"/>
      <c r="L118" s="42"/>
      <c r="M118" s="42"/>
      <c r="N118" s="42"/>
      <c r="O118" s="42"/>
      <c r="P118" s="42"/>
      <c r="Q118" s="42"/>
      <c r="R118" s="42"/>
      <c r="S118" s="42"/>
      <c r="T118" s="306"/>
      <c r="U118" s="42"/>
      <c r="V118" s="42"/>
      <c r="W118" s="42"/>
      <c r="X118" s="42"/>
      <c r="Y118" s="42"/>
      <c r="Z118" s="43"/>
      <c r="AA118" s="43"/>
      <c r="AB118" s="121" t="s">
        <v>295</v>
      </c>
      <c r="AC118" s="450">
        <f>AC114-AC116</f>
        <v>0</v>
      </c>
      <c r="AD118" s="44"/>
      <c r="GS118" s="15"/>
      <c r="GT118" s="15"/>
      <c r="GU118" s="15"/>
      <c r="GV118" s="15"/>
      <c r="GW118" s="15"/>
    </row>
    <row r="119" spans="1:205" ht="3.75" customHeight="1" thickBot="1" x14ac:dyDescent="0.3">
      <c r="A119" s="39"/>
      <c r="B119" s="42"/>
      <c r="C119" s="42"/>
      <c r="D119" s="42"/>
      <c r="E119" s="42"/>
      <c r="F119" s="42"/>
      <c r="G119" s="116"/>
      <c r="H119" s="116"/>
      <c r="I119" s="42"/>
      <c r="J119" s="42"/>
      <c r="K119" s="42"/>
      <c r="L119" s="42"/>
      <c r="M119" s="42"/>
      <c r="N119" s="42"/>
      <c r="O119" s="42"/>
      <c r="P119" s="42"/>
      <c r="Q119" s="42"/>
      <c r="R119" s="42"/>
      <c r="S119" s="42"/>
      <c r="T119" s="306"/>
      <c r="U119" s="42"/>
      <c r="V119" s="42"/>
      <c r="W119" s="42"/>
      <c r="X119" s="42"/>
      <c r="Y119" s="42"/>
      <c r="Z119" s="43"/>
      <c r="AA119" s="43"/>
      <c r="AB119" s="43"/>
      <c r="AC119" s="49"/>
      <c r="AD119" s="44"/>
      <c r="GS119" s="15"/>
      <c r="GT119" s="15"/>
      <c r="GU119" s="15"/>
      <c r="GV119" s="15"/>
      <c r="GW119" s="15"/>
    </row>
    <row r="120" spans="1:205" ht="30" customHeight="1" thickBot="1" x14ac:dyDescent="0.3">
      <c r="A120" s="39"/>
      <c r="B120" s="42"/>
      <c r="C120" s="42"/>
      <c r="D120" s="42"/>
      <c r="E120" s="42"/>
      <c r="F120" s="42"/>
      <c r="G120" s="42"/>
      <c r="H120" s="42"/>
      <c r="I120" s="42"/>
      <c r="J120" s="42"/>
      <c r="K120" s="42"/>
      <c r="L120" s="42"/>
      <c r="M120" s="42"/>
      <c r="N120" s="42"/>
      <c r="O120" s="42"/>
      <c r="P120" s="42"/>
      <c r="Q120" s="42"/>
      <c r="R120" s="42"/>
      <c r="S120" s="42"/>
      <c r="T120" s="306"/>
      <c r="U120" s="42"/>
      <c r="V120" s="42"/>
      <c r="W120" s="42"/>
      <c r="X120" s="42"/>
      <c r="Y120" s="42"/>
      <c r="Z120" s="43"/>
      <c r="AA120" s="43"/>
      <c r="AB120" s="121" t="s">
        <v>296</v>
      </c>
      <c r="AC120" s="450">
        <f>26*AC118</f>
        <v>0</v>
      </c>
      <c r="AD120" s="44"/>
      <c r="GS120" s="15"/>
      <c r="GT120" s="15"/>
      <c r="GU120" s="15"/>
      <c r="GV120" s="15"/>
      <c r="GW120" s="15"/>
    </row>
    <row r="121" spans="1:205" ht="3.75" customHeight="1" x14ac:dyDescent="0.25">
      <c r="A121" s="53"/>
      <c r="B121" s="54"/>
      <c r="C121" s="54"/>
      <c r="D121" s="54"/>
      <c r="E121" s="54"/>
      <c r="F121" s="54"/>
      <c r="G121" s="54"/>
      <c r="H121" s="54"/>
      <c r="I121" s="54"/>
      <c r="J121" s="54"/>
      <c r="K121" s="54"/>
      <c r="L121" s="54"/>
      <c r="M121" s="54"/>
      <c r="N121" s="54"/>
      <c r="O121" s="54"/>
      <c r="P121" s="54"/>
      <c r="Q121" s="54"/>
      <c r="R121" s="54"/>
      <c r="S121" s="54"/>
      <c r="T121" s="317"/>
      <c r="U121" s="54"/>
      <c r="V121" s="54"/>
      <c r="W121" s="54"/>
      <c r="X121" s="54"/>
      <c r="Y121" s="54"/>
      <c r="Z121" s="55"/>
      <c r="AA121" s="55"/>
      <c r="AB121" s="55"/>
      <c r="AC121" s="55"/>
      <c r="AD121" s="56"/>
      <c r="GS121" s="15"/>
      <c r="GT121" s="15"/>
      <c r="GU121" s="15"/>
      <c r="GV121" s="15"/>
      <c r="GW121" s="15"/>
    </row>
    <row r="122" spans="1:205" ht="21" customHeight="1" x14ac:dyDescent="0.25"/>
    <row r="123" spans="1:205" ht="21" customHeight="1" x14ac:dyDescent="0.25"/>
    <row r="124" spans="1:205" ht="21" customHeight="1" x14ac:dyDescent="0.25"/>
    <row r="125" spans="1:205" ht="21" customHeight="1" x14ac:dyDescent="0.25"/>
    <row r="126" spans="1:205" ht="21" customHeight="1" x14ac:dyDescent="0.25"/>
    <row r="127" spans="1:205" ht="21" customHeight="1" x14ac:dyDescent="0.25"/>
    <row r="128" spans="1:205" ht="21" customHeight="1" x14ac:dyDescent="0.25"/>
    <row r="129" ht="21" customHeight="1" x14ac:dyDescent="0.25"/>
    <row r="130" ht="21" customHeight="1" x14ac:dyDescent="0.25"/>
    <row r="131" ht="21" customHeight="1" x14ac:dyDescent="0.25"/>
  </sheetData>
  <sheetProtection algorithmName="SHA-512" hashValue="LZj9SSJJyjgrmNBv3qbLA2AofRqkJZ8xLCTtxvuCzho8iOIN1n0jvGy2ql/vZHrlhnZ6Rtuw+wXVnHTXXwZeeg==" saltValue="FOxBM2NUPDZarMknd+NKGw==" spinCount="100000" sheet="1" selectLockedCells="1"/>
  <protectedRanges>
    <protectedRange password="C3A2" sqref="I4 Q4 U4 B9 B11 B13 B15 Q9 Q11 Q13 Q15 B19 B21 B23 B34 B36 B38 V34 B47 B49 V49 Q56 Q58 V60 B60 B62 B73 B75 B84 B86 I84 I86 U84 U90 I90 I92 B100 B102 I100 I102 U100 U106 I106 I108 B108 AC116 B40 B42" name="Reponses"/>
  </protectedRanges>
  <mergeCells count="86">
    <mergeCell ref="Z84:AA88"/>
    <mergeCell ref="N84:Q86"/>
    <mergeCell ref="R83:Y83"/>
    <mergeCell ref="R88:Y88"/>
    <mergeCell ref="Z100:AA104"/>
    <mergeCell ref="R104:Y104"/>
    <mergeCell ref="N100:Q102"/>
    <mergeCell ref="S94:Y94"/>
    <mergeCell ref="B99:H99"/>
    <mergeCell ref="R99:Y99"/>
    <mergeCell ref="K100:M100"/>
    <mergeCell ref="K102:M102"/>
    <mergeCell ref="O97:U97"/>
    <mergeCell ref="D100:E100"/>
    <mergeCell ref="F100:H102"/>
    <mergeCell ref="D102:E102"/>
    <mergeCell ref="L65:L69"/>
    <mergeCell ref="D73:E73"/>
    <mergeCell ref="D62:E62"/>
    <mergeCell ref="O81:U81"/>
    <mergeCell ref="N90:Q92"/>
    <mergeCell ref="K90:M90"/>
    <mergeCell ref="K92:M92"/>
    <mergeCell ref="K84:M84"/>
    <mergeCell ref="K86:M86"/>
    <mergeCell ref="D75:E75"/>
    <mergeCell ref="U75:W75"/>
    <mergeCell ref="F73:K75"/>
    <mergeCell ref="F84:H86"/>
    <mergeCell ref="D84:E84"/>
    <mergeCell ref="D86:E86"/>
    <mergeCell ref="B90:D90"/>
    <mergeCell ref="J111:X113"/>
    <mergeCell ref="K106:M106"/>
    <mergeCell ref="K108:M108"/>
    <mergeCell ref="N106:Q108"/>
    <mergeCell ref="B109:U109"/>
    <mergeCell ref="B106:F106"/>
    <mergeCell ref="S110:Y110"/>
    <mergeCell ref="W19:AB21"/>
    <mergeCell ref="S11:V11"/>
    <mergeCell ref="S13:V13"/>
    <mergeCell ref="S15:V15"/>
    <mergeCell ref="D11:L11"/>
    <mergeCell ref="D13:L13"/>
    <mergeCell ref="V1:Y2"/>
    <mergeCell ref="B1:B2"/>
    <mergeCell ref="D1:U2"/>
    <mergeCell ref="D9:L9"/>
    <mergeCell ref="B8:M8"/>
    <mergeCell ref="S9:V9"/>
    <mergeCell ref="L4:P4"/>
    <mergeCell ref="M9:O15"/>
    <mergeCell ref="W9:X15"/>
    <mergeCell ref="D15:L15"/>
    <mergeCell ref="D49:E49"/>
    <mergeCell ref="D42:N42"/>
    <mergeCell ref="O36:Q40"/>
    <mergeCell ref="D36:N36"/>
    <mergeCell ref="S19:V19"/>
    <mergeCell ref="N46:U46"/>
    <mergeCell ref="N30:U30"/>
    <mergeCell ref="D40:N40"/>
    <mergeCell ref="D34:N34"/>
    <mergeCell ref="D25:Q25"/>
    <mergeCell ref="D21:L21"/>
    <mergeCell ref="D23:L23"/>
    <mergeCell ref="M19:O23"/>
    <mergeCell ref="D19:L19"/>
    <mergeCell ref="B30:M30"/>
    <mergeCell ref="F60:H62"/>
    <mergeCell ref="B83:H83"/>
    <mergeCell ref="D38:N38"/>
    <mergeCell ref="S56:W56"/>
    <mergeCell ref="S58:W58"/>
    <mergeCell ref="D65:K65"/>
    <mergeCell ref="F47:K49"/>
    <mergeCell ref="B51:Q51"/>
    <mergeCell ref="B52:Q52"/>
    <mergeCell ref="D60:E60"/>
    <mergeCell ref="D64:K64"/>
    <mergeCell ref="W60:X62"/>
    <mergeCell ref="N67:U67"/>
    <mergeCell ref="N69:U69"/>
    <mergeCell ref="X56:Y58"/>
    <mergeCell ref="D47:E47"/>
  </mergeCells>
  <conditionalFormatting sqref="U4">
    <cfRule type="expression" dxfId="5" priority="4">
      <formula>$I$4&gt;=65</formula>
    </cfRule>
  </conditionalFormatting>
  <conditionalFormatting sqref="Q4">
    <cfRule type="expression" dxfId="4" priority="1">
      <formula>"$Q$4=""X"""</formula>
    </cfRule>
    <cfRule type="expression" dxfId="3" priority="2">
      <formula>$I$4&gt;=65</formula>
    </cfRule>
  </conditionalFormatting>
  <pageMargins left="0.7" right="0.7" top="0.75" bottom="0.75" header="0.3" footer="0.3"/>
  <pageSetup paperSize="5" scale="39" orientation="portrait" r:id="rId1"/>
  <ignoredErrors>
    <ignoredError sqref="V49 V6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W111"/>
  <sheetViews>
    <sheetView zoomScale="115" zoomScaleNormal="115" workbookViewId="0">
      <selection activeCell="L15" sqref="L15"/>
    </sheetView>
  </sheetViews>
  <sheetFormatPr baseColWidth="10" defaultRowHeight="15" x14ac:dyDescent="0.25"/>
  <cols>
    <col min="1" max="1" width="11.42578125" style="411"/>
    <col min="2" max="2" width="45.7109375" customWidth="1"/>
    <col min="3" max="3" width="21" customWidth="1"/>
    <col min="4" max="4" width="18.42578125" customWidth="1"/>
    <col min="5" max="5" width="5" customWidth="1"/>
    <col min="6" max="6" width="15.5703125" customWidth="1"/>
    <col min="11" max="11" width="11.140625" customWidth="1"/>
    <col min="12" max="12" width="13.28515625" customWidth="1"/>
    <col min="14" max="14" width="13" customWidth="1"/>
    <col min="16" max="16" width="15.140625" customWidth="1"/>
    <col min="17" max="17" width="13.7109375" customWidth="1"/>
    <col min="19" max="19" width="12.7109375" customWidth="1"/>
    <col min="20" max="20" width="15.7109375" customWidth="1"/>
    <col min="22" max="22" width="13" bestFit="1" customWidth="1"/>
    <col min="23" max="23" width="15.28515625" customWidth="1"/>
  </cols>
  <sheetData>
    <row r="1" spans="1:22" s="411" customFormat="1" ht="15.75" thickBot="1" x14ac:dyDescent="0.3">
      <c r="A1" s="592" t="s">
        <v>332</v>
      </c>
    </row>
    <row r="2" spans="1:22" ht="16.5" thickTop="1" thickBot="1" x14ac:dyDescent="0.3">
      <c r="B2" s="1" t="s">
        <v>9</v>
      </c>
      <c r="C2" s="1" t="s">
        <v>76</v>
      </c>
      <c r="D2" s="1" t="s">
        <v>17</v>
      </c>
      <c r="E2" s="1"/>
      <c r="F2" s="1" t="s">
        <v>291</v>
      </c>
      <c r="G2" s="237" t="s">
        <v>21</v>
      </c>
      <c r="H2" s="238"/>
      <c r="I2" s="239"/>
      <c r="L2" s="1" t="s">
        <v>26</v>
      </c>
      <c r="O2" t="s">
        <v>291</v>
      </c>
    </row>
    <row r="3" spans="1:22" ht="16.5" thickTop="1" thickBot="1" x14ac:dyDescent="0.3">
      <c r="B3" t="s">
        <v>77</v>
      </c>
      <c r="C3" t="s">
        <v>80</v>
      </c>
      <c r="D3" t="s">
        <v>18</v>
      </c>
      <c r="G3" s="232" t="s">
        <v>5</v>
      </c>
      <c r="H3" s="233" t="s">
        <v>6</v>
      </c>
      <c r="I3" s="234" t="s">
        <v>7</v>
      </c>
      <c r="L3" t="s">
        <v>29</v>
      </c>
      <c r="P3" s="235" t="s">
        <v>27</v>
      </c>
      <c r="Q3" s="236" t="s">
        <v>28</v>
      </c>
    </row>
    <row r="4" spans="1:22" ht="15.75" thickTop="1" x14ac:dyDescent="0.25">
      <c r="B4" t="s">
        <v>78</v>
      </c>
      <c r="C4" t="s">
        <v>81</v>
      </c>
      <c r="D4" t="s">
        <v>19</v>
      </c>
      <c r="F4" s="2" t="s">
        <v>80</v>
      </c>
      <c r="G4" s="167">
        <f>'Nouveau taux'!C29</f>
        <v>48.83</v>
      </c>
      <c r="H4" s="168">
        <f>'Nouveau taux'!D29</f>
        <v>67.81</v>
      </c>
      <c r="I4" s="169">
        <f>'Nouveau taux'!E29</f>
        <v>82.05</v>
      </c>
      <c r="L4" t="s">
        <v>90</v>
      </c>
      <c r="O4" s="2" t="s">
        <v>12</v>
      </c>
      <c r="P4" s="154">
        <f>'Nouveau taux'!H29</f>
        <v>11.22</v>
      </c>
      <c r="Q4" s="156">
        <f>'Nouveau taux'!I29</f>
        <v>14.92</v>
      </c>
    </row>
    <row r="5" spans="1:22" ht="15.75" thickBot="1" x14ac:dyDescent="0.3">
      <c r="B5" t="s">
        <v>79</v>
      </c>
      <c r="C5" t="s">
        <v>82</v>
      </c>
      <c r="D5" t="s">
        <v>20</v>
      </c>
      <c r="F5" s="2" t="s">
        <v>81</v>
      </c>
      <c r="G5" s="149">
        <f>'Nouveau taux'!C30</f>
        <v>78.12</v>
      </c>
      <c r="H5" s="148">
        <f>'Nouveau taux'!D30</f>
        <v>108.5</v>
      </c>
      <c r="I5" s="150">
        <f>'Nouveau taux'!E30</f>
        <v>131.29</v>
      </c>
      <c r="L5" t="s">
        <v>91</v>
      </c>
      <c r="O5" s="2" t="s">
        <v>13</v>
      </c>
      <c r="P5" s="149">
        <f>'Nouveau taux'!H30</f>
        <v>21.31</v>
      </c>
      <c r="Q5" s="150">
        <f>'Nouveau taux'!I30</f>
        <v>28.34</v>
      </c>
    </row>
    <row r="6" spans="1:22" ht="16.5" thickTop="1" thickBot="1" x14ac:dyDescent="0.3">
      <c r="B6" t="s">
        <v>8</v>
      </c>
      <c r="C6" t="s">
        <v>11</v>
      </c>
      <c r="D6" s="539">
        <f>Calculateur!I4</f>
        <v>0</v>
      </c>
      <c r="E6" t="s">
        <v>315</v>
      </c>
      <c r="F6" s="2" t="s">
        <v>82</v>
      </c>
      <c r="G6" s="149">
        <f>'Nouveau taux'!C31</f>
        <v>124.5</v>
      </c>
      <c r="H6" s="148">
        <f>'Nouveau taux'!D31</f>
        <v>172.92</v>
      </c>
      <c r="I6" s="150">
        <f>'Nouveau taux'!E31</f>
        <v>209.24</v>
      </c>
      <c r="O6" s="2" t="s">
        <v>14</v>
      </c>
      <c r="P6" s="149">
        <f>'Nouveau taux'!H31</f>
        <v>29.61</v>
      </c>
      <c r="Q6" s="150">
        <f>'Nouveau taux'!I31</f>
        <v>39.380000000000003</v>
      </c>
    </row>
    <row r="7" spans="1:22" ht="16.5" thickTop="1" thickBot="1" x14ac:dyDescent="0.3">
      <c r="F7" s="2" t="s">
        <v>11</v>
      </c>
      <c r="G7" s="151">
        <f>'Nouveau taux'!C32</f>
        <v>107.42</v>
      </c>
      <c r="H7" s="152">
        <f>'Nouveau taux'!D32</f>
        <v>149.19</v>
      </c>
      <c r="I7" s="153">
        <f>'Nouveau taux'!E32</f>
        <v>180.52</v>
      </c>
      <c r="O7" s="2" t="s">
        <v>11</v>
      </c>
      <c r="P7" s="151">
        <f>'Nouveau taux'!H32</f>
        <v>24.68</v>
      </c>
      <c r="Q7" s="153">
        <f>'Nouveau taux'!I32</f>
        <v>32.82</v>
      </c>
    </row>
    <row r="8" spans="1:22" ht="16.5" thickTop="1" thickBot="1" x14ac:dyDescent="0.3">
      <c r="B8" t="s">
        <v>10</v>
      </c>
      <c r="C8" t="s">
        <v>10</v>
      </c>
      <c r="D8" t="s">
        <v>10</v>
      </c>
      <c r="G8" s="237" t="str">
        <f>'Nouveau taux'!C33</f>
        <v>Si  65 ans ou plus inscrit à la RAMQ</v>
      </c>
      <c r="H8" s="198">
        <f>'Nouveau taux'!D33</f>
        <v>0</v>
      </c>
      <c r="I8" s="199">
        <f>'Nouveau taux'!E33</f>
        <v>0</v>
      </c>
      <c r="L8" t="s">
        <v>10</v>
      </c>
    </row>
    <row r="9" spans="1:22" ht="16.5" thickTop="1" thickBot="1" x14ac:dyDescent="0.3">
      <c r="B9" s="180" t="str">
        <f>IF(OR(Calculateur!B9="X",Calculateur!B9="x"),B3,IF(OR(Calculateur!B11="X",Calculateur!B11="x"),B4,IF(OR(Calculateur!B13="X",Calculateur!B13="x"),B5,B6)))</f>
        <v>Je suis couvert par l'assurance de mon conjoint</v>
      </c>
      <c r="C9" s="180" t="str">
        <f>IF(OR(Calculateur!Q9="X",Calculateur!Q9="x"),C3,IF(OR(Calculateur!Q11="X",Calculateur!Q11="x"),C4,IF(OR(Calculateur!Q13="X",Calculateur!Q13="x"),C5,IF(OR(Calculateur!Q15="X",Calculateur!Q15="x"),C6,""))))</f>
        <v/>
      </c>
      <c r="D9" s="180" t="str">
        <f>IF(D6&lt;65,Taux!D3,IF(AND(D6&gt;=65,OR(Calculateur!Q4="x",Calculateur!Q4="X")),Taux!D4,Taux!D5))</f>
        <v>Adhérent de moins de 65 ans</v>
      </c>
      <c r="E9" s="172"/>
      <c r="F9" s="171"/>
      <c r="G9" s="232" t="str">
        <f>'Nouveau taux'!C34</f>
        <v>Module A</v>
      </c>
      <c r="H9" s="233" t="str">
        <f>'Nouveau taux'!D34</f>
        <v>Module B</v>
      </c>
      <c r="I9" s="234" t="str">
        <f>'Nouveau taux'!E34</f>
        <v>Module C</v>
      </c>
      <c r="L9" s="196" t="str">
        <f>IF(OR(Calculateur!B19="X",Calculateur!B19="x"),L3,IF(OR(Calculateur!B21="X",Calculateur!B21="x"),L4,IF(OR(Calculateur!B23="X",Calculateur!B23="x"),L5,"")))</f>
        <v/>
      </c>
      <c r="M9" s="172"/>
      <c r="N9" s="171"/>
    </row>
    <row r="10" spans="1:22" ht="16.5" thickTop="1" thickBot="1" x14ac:dyDescent="0.3">
      <c r="F10" s="2" t="s">
        <v>80</v>
      </c>
      <c r="G10" s="167">
        <f>'Nouveau taux'!C35</f>
        <v>17.5</v>
      </c>
      <c r="H10" s="168">
        <f>'Nouveau taux'!D35</f>
        <v>25.73</v>
      </c>
      <c r="I10" s="169">
        <f>'Nouveau taux'!E35</f>
        <v>31.14</v>
      </c>
      <c r="L10" t="s">
        <v>30</v>
      </c>
      <c r="O10" s="2" t="s">
        <v>297</v>
      </c>
    </row>
    <row r="11" spans="1:22" ht="16.5" thickTop="1" thickBot="1" x14ac:dyDescent="0.3">
      <c r="F11" s="2" t="s">
        <v>81</v>
      </c>
      <c r="G11" s="149">
        <f>'Nouveau taux'!C36</f>
        <v>35</v>
      </c>
      <c r="H11" s="148">
        <f>'Nouveau taux'!D36</f>
        <v>51.46</v>
      </c>
      <c r="I11" s="150">
        <f>'Nouveau taux'!E36</f>
        <v>62.27</v>
      </c>
      <c r="L11" s="160" t="b">
        <v>1</v>
      </c>
      <c r="O11" s="197">
        <f>IF(OR(L9=L3,L12=TRUE),0,IF(L9=L4,IF(C9=C3,P4,IF(C9=C4,P5,IF(C9=C5,P6,P7))),IF(AND(L9=L5,L11=TRUE),IF(C9=C3,Q4,IF(C9=C4,Q5,IF(C9=C5,Q6,Q7))),0)))</f>
        <v>0</v>
      </c>
    </row>
    <row r="12" spans="1:22" ht="16.5" thickTop="1" thickBot="1" x14ac:dyDescent="0.3">
      <c r="F12" s="2" t="s">
        <v>82</v>
      </c>
      <c r="G12" s="149">
        <f>'Nouveau taux'!C37</f>
        <v>52.49</v>
      </c>
      <c r="H12" s="148">
        <f>'Nouveau taux'!D37</f>
        <v>77.2</v>
      </c>
      <c r="I12" s="150">
        <f>'Nouveau taux'!E37</f>
        <v>93.41</v>
      </c>
      <c r="L12" s="161" t="b">
        <v>0</v>
      </c>
      <c r="R12" s="411"/>
      <c r="S12" s="411"/>
      <c r="T12" s="411"/>
    </row>
    <row r="13" spans="1:22" ht="16.5" thickTop="1" thickBot="1" x14ac:dyDescent="0.3">
      <c r="F13" s="2" t="s">
        <v>11</v>
      </c>
      <c r="G13" s="151">
        <f>'Nouveau taux'!C38</f>
        <v>38.5</v>
      </c>
      <c r="H13" s="152">
        <f>'Nouveau taux'!D38</f>
        <v>56.61</v>
      </c>
      <c r="I13" s="153">
        <f>'Nouveau taux'!E38</f>
        <v>68.5</v>
      </c>
    </row>
    <row r="14" spans="1:22" ht="16.5" thickTop="1" thickBot="1" x14ac:dyDescent="0.3">
      <c r="G14" s="237" t="str">
        <f>'Nouveau taux'!C39</f>
        <v>Si  65 ans ou plus qui n'est pas inscrit à la RAMQ</v>
      </c>
      <c r="H14" s="198">
        <f>'Nouveau taux'!D39</f>
        <v>0</v>
      </c>
      <c r="I14" s="199">
        <f>'Nouveau taux'!E39</f>
        <v>0</v>
      </c>
      <c r="L14" s="1" t="s">
        <v>36</v>
      </c>
      <c r="P14" t="s">
        <v>86</v>
      </c>
      <c r="R14" t="s">
        <v>37</v>
      </c>
    </row>
    <row r="15" spans="1:22" ht="16.5" thickTop="1" thickBot="1" x14ac:dyDescent="0.3">
      <c r="G15" s="232" t="str">
        <f>'Nouveau taux'!C40</f>
        <v>Module A</v>
      </c>
      <c r="H15" s="233" t="str">
        <f>'Nouveau taux'!D40</f>
        <v>Module B</v>
      </c>
      <c r="I15" s="234" t="str">
        <f>'Nouveau taux'!E40</f>
        <v>Module C</v>
      </c>
      <c r="L15" t="s">
        <v>33</v>
      </c>
      <c r="N15" t="s">
        <v>71</v>
      </c>
      <c r="P15" t="s">
        <v>98</v>
      </c>
      <c r="Q15" s="164">
        <f>'Nouveau taux'!M5</f>
        <v>2.8400000000000002E-2</v>
      </c>
      <c r="R15" s="573" t="s">
        <v>95</v>
      </c>
    </row>
    <row r="16" spans="1:22" ht="15.75" thickTop="1" x14ac:dyDescent="0.25">
      <c r="B16" s="187">
        <f>G10+G16</f>
        <v>140</v>
      </c>
      <c r="C16" s="188">
        <f t="shared" ref="C16:D19" si="0">H10+H16</f>
        <v>148.22999999999999</v>
      </c>
      <c r="D16" s="189">
        <f t="shared" si="0"/>
        <v>153.63999999999999</v>
      </c>
      <c r="F16" s="2" t="s">
        <v>80</v>
      </c>
      <c r="G16" s="167">
        <f>'Nouveau taux'!C41</f>
        <v>122.5</v>
      </c>
      <c r="H16" s="168">
        <f>'Nouveau taux'!D41</f>
        <v>122.5</v>
      </c>
      <c r="I16" s="169">
        <f>'Nouveau taux'!E41</f>
        <v>122.5</v>
      </c>
      <c r="L16" t="s">
        <v>34</v>
      </c>
      <c r="N16" s="123" t="s">
        <v>122</v>
      </c>
      <c r="P16" t="s">
        <v>99</v>
      </c>
      <c r="Q16" s="165">
        <f>'Nouveau taux'!M6</f>
        <v>0.83499999999999996</v>
      </c>
      <c r="R16" s="573" t="s">
        <v>96</v>
      </c>
      <c r="T16" s="587" t="s">
        <v>330</v>
      </c>
      <c r="U16" s="573"/>
      <c r="V16" s="573"/>
    </row>
    <row r="17" spans="2:20" ht="15.75" thickBot="1" x14ac:dyDescent="0.3">
      <c r="B17" s="190">
        <f t="shared" ref="B17:B19" si="1">G11+G17</f>
        <v>157.5</v>
      </c>
      <c r="C17" s="191">
        <f t="shared" si="0"/>
        <v>173.96</v>
      </c>
      <c r="D17" s="192">
        <f t="shared" si="0"/>
        <v>184.77</v>
      </c>
      <c r="F17" s="2" t="s">
        <v>81</v>
      </c>
      <c r="G17" s="149">
        <f>'Nouveau taux'!C42</f>
        <v>122.5</v>
      </c>
      <c r="H17" s="148">
        <f>'Nouveau taux'!D42</f>
        <v>122.5</v>
      </c>
      <c r="I17" s="150">
        <f>'Nouveau taux'!E42</f>
        <v>122.5</v>
      </c>
      <c r="L17" t="s">
        <v>10</v>
      </c>
      <c r="N17" t="s">
        <v>123</v>
      </c>
      <c r="P17" t="s">
        <v>337</v>
      </c>
      <c r="Q17" s="586">
        <f>1000*ROUNDDOWN(Calculateur!V60/1000,0)+IF(VALUE(RIGHT(Calculateur!V60,3))&lt;250,0,IF(VALUE(RIGHT(Calculateur!V60,3))&lt;750,500,1000))</f>
        <v>0</v>
      </c>
      <c r="R17" s="573" t="s">
        <v>97</v>
      </c>
      <c r="T17" s="277"/>
    </row>
    <row r="18" spans="2:20" ht="16.5" thickTop="1" thickBot="1" x14ac:dyDescent="0.3">
      <c r="B18" s="190">
        <f t="shared" si="1"/>
        <v>297.52</v>
      </c>
      <c r="C18" s="191">
        <f t="shared" si="0"/>
        <v>322.23</v>
      </c>
      <c r="D18" s="192">
        <f t="shared" si="0"/>
        <v>338.44</v>
      </c>
      <c r="F18" s="2" t="s">
        <v>82</v>
      </c>
      <c r="G18" s="149">
        <f>'Nouveau taux'!C43</f>
        <v>245.03</v>
      </c>
      <c r="H18" s="148">
        <f>'Nouveau taux'!D43</f>
        <v>245.03</v>
      </c>
      <c r="I18" s="150">
        <f>'Nouveau taux'!E43</f>
        <v>245.03</v>
      </c>
      <c r="L18" s="180">
        <f>IF(OR(Calculateur!B60="X",Calculateur!B60="x"),L15,IF(OR(Calculateur!B62="X",Calculateur!B62="x"),L16,0))</f>
        <v>0</v>
      </c>
      <c r="N18" t="s">
        <v>120</v>
      </c>
      <c r="P18" t="s">
        <v>70</v>
      </c>
      <c r="Q18" s="214">
        <f>IF(L18=L15,IF(N21="Une fois le salaire annuel",MAX(75000,Q17),IF(N21="Deux fois le salaire annuel",MAX(75000,2*Q17),IF(N21="La moitié du salaire annuel",MAX(17500,0.5*Q17),IF(N21="10 000$",10000,)))),0)</f>
        <v>0</v>
      </c>
      <c r="R18" s="573" t="s">
        <v>10</v>
      </c>
    </row>
    <row r="19" spans="2:20" ht="16.5" thickTop="1" thickBot="1" x14ac:dyDescent="0.3">
      <c r="B19" s="193">
        <f t="shared" si="1"/>
        <v>283.52999999999997</v>
      </c>
      <c r="C19" s="194">
        <f t="shared" si="0"/>
        <v>301.64</v>
      </c>
      <c r="D19" s="195">
        <f t="shared" si="0"/>
        <v>313.52999999999997</v>
      </c>
      <c r="F19" s="2" t="s">
        <v>11</v>
      </c>
      <c r="G19" s="151">
        <f>'Nouveau taux'!C44</f>
        <v>245.03</v>
      </c>
      <c r="H19" s="152">
        <f>'Nouveau taux'!D44</f>
        <v>245.03</v>
      </c>
      <c r="I19" s="153">
        <f>'Nouveau taux'!E44</f>
        <v>245.03</v>
      </c>
      <c r="L19" t="s">
        <v>35</v>
      </c>
      <c r="N19" t="s">
        <v>121</v>
      </c>
      <c r="P19" t="s">
        <v>88</v>
      </c>
      <c r="R19" s="196" t="str">
        <f>IF(D6&lt;65,Taux!R15,IF(D6&gt;=70,Taux!R17,Taux!R16))</f>
        <v>Moins de 65 ans</v>
      </c>
      <c r="S19" s="171"/>
    </row>
    <row r="20" spans="2:20" ht="16.5" thickTop="1" thickBot="1" x14ac:dyDescent="0.3">
      <c r="L20" s="180">
        <f>IF(L18=L15,Q15,0)</f>
        <v>0</v>
      </c>
      <c r="N20" t="s">
        <v>69</v>
      </c>
    </row>
    <row r="21" spans="2:20" ht="16.5" thickTop="1" thickBot="1" x14ac:dyDescent="0.3">
      <c r="F21" s="10" t="s">
        <v>297</v>
      </c>
      <c r="L21" t="s">
        <v>100</v>
      </c>
      <c r="M21" s="197">
        <f>IF(L18=L16,0,ROUND(Q15*Q18/1000,2)+Q16)</f>
        <v>0.83499999999999996</v>
      </c>
      <c r="N21" s="196" t="str">
        <f>IF(AND(ISBLANK(Calculateur!Q56),ISBLANK(Calculateur!Q58)),"",IF(OR(Calculateur!Q56="X",Calculateur!Q56="x"),Calculateur!S56,Calculateur!S58))</f>
        <v/>
      </c>
      <c r="O21" s="171"/>
    </row>
    <row r="22" spans="2:20" ht="16.5" thickTop="1" thickBot="1" x14ac:dyDescent="0.3">
      <c r="F22" s="197">
        <f>IF(B9=B3,IF(C9=C3,IF(D9=D3,G4,IF(D9=D4,G10,G10+G16)),IF(C9=C4,IF(D9=D3,G5,IF(D9=D4,G11,G11+G17)),IF(C9=C5,IF(D9=D3,G6,IF(D9=D4,G12,G12+G18)),IF(D9=D3,G7,IF(D9=D4,G13,G13+G19))))),IF(B9=B4,IF(C9=C3,IF(D9=D3,H4,IF(D9=D4,H10,H10+H16)),IF(C9=C4,IF(D9=D3,H5,IF(D9=D4,H11,H11+H17)),IF(C9=C5,IF(D9=D3,H6,IF(D9=D4,H12,H12+H18)),IF(D9=D3,H7,IF(D9=D4,H13,H13+H19))))),IF(B9=B5,IF(C9=C3,IF(D9=D3,I4,IF(D9=D4,I10,I10+I16)),IF(C9=C4,IF(D9=D3,I5,IF(D9=D4,I11,I11+I17)),IF(C9=C5,IF(D9=D3,I6,IF(D9=D4,I12,I12+I18)),IF(D9=D3,I7,IF(D9=D4,I13,I13+I19))))),0)))</f>
        <v>0</v>
      </c>
    </row>
    <row r="23" spans="2:20" ht="16.5" thickTop="1" thickBot="1" x14ac:dyDescent="0.3">
      <c r="F23" s="10" t="s">
        <v>298</v>
      </c>
      <c r="N23" s="411"/>
    </row>
    <row r="24" spans="2:20" ht="16.5" thickTop="1" thickBot="1" x14ac:dyDescent="0.3">
      <c r="F24" s="200">
        <f>26*F22</f>
        <v>0</v>
      </c>
      <c r="L24" s="1" t="s">
        <v>62</v>
      </c>
      <c r="P24" t="s">
        <v>86</v>
      </c>
    </row>
    <row r="25" spans="2:20" ht="16.5" thickTop="1" thickBot="1" x14ac:dyDescent="0.3">
      <c r="L25" t="s">
        <v>33</v>
      </c>
      <c r="P25" s="201">
        <f>'Nouveau taux'!M7</f>
        <v>0.29499999999999998</v>
      </c>
    </row>
    <row r="26" spans="2:20" ht="16.5" thickTop="1" thickBot="1" x14ac:dyDescent="0.3">
      <c r="F26" t="s">
        <v>24</v>
      </c>
      <c r="G26" t="s">
        <v>25</v>
      </c>
      <c r="I26" s="1" t="s">
        <v>2</v>
      </c>
      <c r="L26" t="s">
        <v>34</v>
      </c>
    </row>
    <row r="27" spans="2:20" ht="16.5" thickTop="1" thickBot="1" x14ac:dyDescent="0.3">
      <c r="F27" s="170">
        <f>IF(OR(Calculateur!B42="X",Calculateur!B42="x"),Calculateur!D42,IF(OR(Calculateur!B34="X",Calculateur!B34="x"),Calculateur!D34,IF(OR(Calculateur!B36="X",Calculateur!B36="x"),Calculateur!D36,IF(OR(Calculateur!B38="X",Calculateur!B38="x"),Calculateur!D38,IF(OR(Calculateur!B40="X",Calculateur!B40="x"),Calculateur!D40,0)))))</f>
        <v>0</v>
      </c>
      <c r="G27" s="231">
        <f>IF(Calculateur!O36="",VLOOKUP(F27,Taux_courte,2,FALSE),0)</f>
        <v>0</v>
      </c>
      <c r="I27" t="s">
        <v>32</v>
      </c>
      <c r="K27" t="s">
        <v>86</v>
      </c>
      <c r="L27" t="s">
        <v>10</v>
      </c>
    </row>
    <row r="28" spans="2:20" ht="16.5" thickTop="1" thickBot="1" x14ac:dyDescent="0.3">
      <c r="I28" t="s">
        <v>33</v>
      </c>
      <c r="K28" s="202">
        <f>'Nouveau taux'!S37</f>
        <v>0.36799999999999999</v>
      </c>
      <c r="L28" s="162" t="str">
        <f>IF(OR(Calculateur!B73="X",Calculateur!B73="x"),L25,L26)</f>
        <v>Non</v>
      </c>
    </row>
    <row r="29" spans="2:20" ht="16.5" thickTop="1" thickBot="1" x14ac:dyDescent="0.3">
      <c r="I29" t="s">
        <v>34</v>
      </c>
      <c r="L29" t="s">
        <v>297</v>
      </c>
    </row>
    <row r="30" spans="2:20" ht="16.5" thickTop="1" thickBot="1" x14ac:dyDescent="0.3">
      <c r="B30" s="564" t="s">
        <v>1</v>
      </c>
      <c r="C30" s="565" t="s">
        <v>83</v>
      </c>
      <c r="E30" s="428"/>
      <c r="I30" t="s">
        <v>10</v>
      </c>
      <c r="L30" s="201">
        <f>IF(AND(L28=L25,L18=L15),P25,0)</f>
        <v>0</v>
      </c>
    </row>
    <row r="31" spans="2:20" ht="16.5" thickTop="1" thickBot="1" x14ac:dyDescent="0.3">
      <c r="B31" s="557" t="s">
        <v>136</v>
      </c>
      <c r="C31" s="558">
        <f>_xlfn.IFNA(VLOOKUP(B31,'Nouveau taux'!$R$5:$S$10,2,FALSE),"Ajuster tabnleau dans TAUX")</f>
        <v>0.27700000000000002</v>
      </c>
      <c r="D31" t="s">
        <v>322</v>
      </c>
      <c r="I31" s="162">
        <f>IF(OR(Calculateur!B47="X",Calculateur!B47="x"),Calculateur!D47,IF(OR(Calculateur!B49="X",Calculateur!B49="x"),Calculateur!D49,0))</f>
        <v>0</v>
      </c>
    </row>
    <row r="32" spans="2:20" ht="16.5" thickTop="1" thickBot="1" x14ac:dyDescent="0.3">
      <c r="B32" s="559" t="s">
        <v>188</v>
      </c>
      <c r="C32" s="560">
        <f>_xlfn.IFNA(VLOOKUP(B32,'Nouveau taux'!$R$5:$S$10,2,FALSE),"Ajuster tabnleau dans TAUX")</f>
        <v>0.59799999999999998</v>
      </c>
      <c r="E32" s="2"/>
      <c r="I32" t="s">
        <v>35</v>
      </c>
      <c r="L32" t="s">
        <v>103</v>
      </c>
    </row>
    <row r="33" spans="2:23" ht="16.5" thickTop="1" thickBot="1" x14ac:dyDescent="0.3">
      <c r="B33" s="561" t="s">
        <v>319</v>
      </c>
      <c r="C33" s="560">
        <f>_xlfn.IFNA(VLOOKUP(B33,'Nouveau taux'!$R$5:$S$10,2,FALSE),"Ajuster tabnleau dans TAUX")</f>
        <v>0.56499999999999995</v>
      </c>
      <c r="E33" s="275"/>
      <c r="I33" s="201">
        <f>IF(I31=I28,K28,0)</f>
        <v>0</v>
      </c>
      <c r="L33" t="s">
        <v>102</v>
      </c>
    </row>
    <row r="34" spans="2:23" ht="15.75" thickTop="1" x14ac:dyDescent="0.25">
      <c r="B34" s="561" t="s">
        <v>333</v>
      </c>
      <c r="C34" s="560">
        <f>_xlfn.IFNA(VLOOKUP(B34,'Nouveau taux'!$R$5:$S$10,2,FALSE),"Ajuster tabnleau dans TAUX")</f>
        <v>0.112</v>
      </c>
      <c r="E34" s="2"/>
      <c r="L34" t="s">
        <v>312</v>
      </c>
    </row>
    <row r="35" spans="2:23" ht="15.75" thickBot="1" x14ac:dyDescent="0.3">
      <c r="B35" s="561" t="s">
        <v>325</v>
      </c>
      <c r="C35" s="560">
        <f>_xlfn.IFNA(VLOOKUP(B35,'Nouveau taux'!$R$5:$S$10,2,FALSE),"Ajuster tabnleau dans TAUX")</f>
        <v>0.46400000000000002</v>
      </c>
      <c r="L35" s="1" t="s">
        <v>39</v>
      </c>
      <c r="P35" t="s">
        <v>46</v>
      </c>
      <c r="V35" t="s">
        <v>60</v>
      </c>
    </row>
    <row r="36" spans="2:23" ht="16.5" thickTop="1" thickBot="1" x14ac:dyDescent="0.3">
      <c r="B36" s="562" t="s">
        <v>31</v>
      </c>
      <c r="C36" s="563">
        <f>'Nouveau taux'!S30</f>
        <v>0</v>
      </c>
      <c r="L36" s="1" t="s">
        <v>65</v>
      </c>
      <c r="N36" s="1" t="s">
        <v>66</v>
      </c>
      <c r="Q36" s="710" t="s">
        <v>41</v>
      </c>
      <c r="R36" s="711"/>
      <c r="S36" s="711" t="s">
        <v>42</v>
      </c>
      <c r="T36" s="712"/>
      <c r="V36" s="12">
        <v>0</v>
      </c>
      <c r="W36" s="12">
        <v>0</v>
      </c>
    </row>
    <row r="37" spans="2:23" ht="16.5" thickTop="1" thickBot="1" x14ac:dyDescent="0.3">
      <c r="B37" s="556"/>
      <c r="L37" t="s">
        <v>33</v>
      </c>
      <c r="N37" t="s">
        <v>33</v>
      </c>
      <c r="P37" t="s">
        <v>47</v>
      </c>
      <c r="Q37" s="232" t="s">
        <v>44</v>
      </c>
      <c r="R37" s="233" t="s">
        <v>45</v>
      </c>
      <c r="S37" s="233" t="s">
        <v>48</v>
      </c>
      <c r="T37" s="234" t="s">
        <v>49</v>
      </c>
      <c r="V37" s="217">
        <v>20000</v>
      </c>
      <c r="W37" s="218">
        <v>25000</v>
      </c>
    </row>
    <row r="38" spans="2:23" ht="15.75" thickTop="1" x14ac:dyDescent="0.25">
      <c r="B38" s="411"/>
      <c r="L38" t="s">
        <v>34</v>
      </c>
      <c r="N38" t="s">
        <v>34</v>
      </c>
      <c r="P38" t="s">
        <v>50</v>
      </c>
      <c r="Q38" s="203">
        <f>'Nouveau taux'!M33</f>
        <v>8.9999999999999993E-3</v>
      </c>
      <c r="R38" s="204">
        <f>'Nouveau taux'!N33</f>
        <v>1.2999999999999999E-2</v>
      </c>
      <c r="S38" s="204">
        <f>'Nouveau taux'!O33</f>
        <v>5.0000000000000001E-3</v>
      </c>
      <c r="T38" s="205">
        <f>'Nouveau taux'!P33</f>
        <v>6.0000000000000001E-3</v>
      </c>
      <c r="V38" s="219">
        <f>V37+20000</f>
        <v>40000</v>
      </c>
      <c r="W38" s="220">
        <f>W37+25000</f>
        <v>50000</v>
      </c>
    </row>
    <row r="39" spans="2:23" ht="15.75" thickBot="1" x14ac:dyDescent="0.3">
      <c r="B39" s="411"/>
      <c r="L39" t="s">
        <v>10</v>
      </c>
      <c r="N39" t="s">
        <v>10</v>
      </c>
      <c r="P39" t="s">
        <v>51</v>
      </c>
      <c r="Q39" s="206">
        <f>'Nouveau taux'!M34</f>
        <v>8.9999999999999993E-3</v>
      </c>
      <c r="R39" s="207">
        <f>'Nouveau taux'!N34</f>
        <v>1.2999999999999999E-2</v>
      </c>
      <c r="S39" s="207">
        <f>'Nouveau taux'!O34</f>
        <v>5.0000000000000001E-3</v>
      </c>
      <c r="T39" s="208">
        <f>'Nouveau taux'!P34</f>
        <v>6.0000000000000001E-3</v>
      </c>
      <c r="V39" s="219">
        <f t="shared" ref="V39:V43" si="2">V38+20000</f>
        <v>60000</v>
      </c>
      <c r="W39" s="220">
        <f t="shared" ref="W39:W46" si="3">W38+25000</f>
        <v>75000</v>
      </c>
    </row>
    <row r="40" spans="2:23" ht="16.5" thickTop="1" thickBot="1" x14ac:dyDescent="0.3">
      <c r="B40" s="411"/>
      <c r="L40" s="180" t="str">
        <f>IF(OR(Calculateur!B84="X",Calculateur!B84="x"),L37,L38)</f>
        <v>Non</v>
      </c>
      <c r="N40" s="180" t="str">
        <f>IF(OR(Calculateur!B100="X",Calculateur!B100="x"),N37,N38)</f>
        <v>Non</v>
      </c>
      <c r="P40" t="s">
        <v>52</v>
      </c>
      <c r="Q40" s="206">
        <f>'Nouveau taux'!M35</f>
        <v>8.9999999999999993E-3</v>
      </c>
      <c r="R40" s="207">
        <f>'Nouveau taux'!N35</f>
        <v>1.2999999999999999E-2</v>
      </c>
      <c r="S40" s="207">
        <f>'Nouveau taux'!O35</f>
        <v>5.0000000000000001E-3</v>
      </c>
      <c r="T40" s="208">
        <f>'Nouveau taux'!P35</f>
        <v>6.0000000000000001E-3</v>
      </c>
      <c r="V40" s="219">
        <f t="shared" si="2"/>
        <v>80000</v>
      </c>
      <c r="W40" s="220">
        <f t="shared" si="3"/>
        <v>100000</v>
      </c>
    </row>
    <row r="41" spans="2:23" ht="15.75" thickTop="1" x14ac:dyDescent="0.25">
      <c r="B41" s="411"/>
      <c r="P41" t="s">
        <v>53</v>
      </c>
      <c r="Q41" s="206">
        <f>'Nouveau taux'!M36</f>
        <v>1.2E-2</v>
      </c>
      <c r="R41" s="207">
        <f>'Nouveau taux'!N36</f>
        <v>1.4999999999999999E-2</v>
      </c>
      <c r="S41" s="207">
        <f>'Nouveau taux'!O36</f>
        <v>6.0000000000000001E-3</v>
      </c>
      <c r="T41" s="208">
        <f>'Nouveau taux'!P36</f>
        <v>7.0000000000000001E-3</v>
      </c>
      <c r="V41" s="219">
        <f t="shared" si="2"/>
        <v>100000</v>
      </c>
      <c r="W41" s="220">
        <f t="shared" si="3"/>
        <v>125000</v>
      </c>
    </row>
    <row r="42" spans="2:23" x14ac:dyDescent="0.25">
      <c r="B42" s="411"/>
      <c r="L42" s="11" t="s">
        <v>40</v>
      </c>
      <c r="N42" s="11" t="s">
        <v>40</v>
      </c>
      <c r="P42" t="s">
        <v>54</v>
      </c>
      <c r="Q42" s="206">
        <f>'Nouveau taux'!M37</f>
        <v>1.7000000000000001E-2</v>
      </c>
      <c r="R42" s="207">
        <f>'Nouveau taux'!N37</f>
        <v>2.5000000000000001E-2</v>
      </c>
      <c r="S42" s="207">
        <f>'Nouveau taux'!O37</f>
        <v>8.9999999999999993E-3</v>
      </c>
      <c r="T42" s="208">
        <f>'Nouveau taux'!P37</f>
        <v>1.2999999999999999E-2</v>
      </c>
      <c r="V42" s="219">
        <f t="shared" si="2"/>
        <v>120000</v>
      </c>
      <c r="W42" s="220">
        <f t="shared" si="3"/>
        <v>150000</v>
      </c>
    </row>
    <row r="43" spans="2:23" ht="15.75" thickBot="1" x14ac:dyDescent="0.3">
      <c r="B43" s="411"/>
      <c r="L43" t="s">
        <v>41</v>
      </c>
      <c r="N43" t="s">
        <v>41</v>
      </c>
      <c r="P43" t="s">
        <v>55</v>
      </c>
      <c r="Q43" s="206">
        <f>'Nouveau taux'!M38</f>
        <v>2.8000000000000001E-2</v>
      </c>
      <c r="R43" s="207">
        <f>'Nouveau taux'!N38</f>
        <v>0.04</v>
      </c>
      <c r="S43" s="207">
        <f>'Nouveau taux'!O38</f>
        <v>1.2999999999999999E-2</v>
      </c>
      <c r="T43" s="208">
        <f>'Nouveau taux'!P38</f>
        <v>1.9E-2</v>
      </c>
      <c r="V43" s="221">
        <f t="shared" si="2"/>
        <v>140000</v>
      </c>
      <c r="W43" s="220">
        <f t="shared" si="3"/>
        <v>175000</v>
      </c>
    </row>
    <row r="44" spans="2:23" ht="16.5" thickTop="1" thickBot="1" x14ac:dyDescent="0.3">
      <c r="B44" s="411"/>
      <c r="L44" t="s">
        <v>42</v>
      </c>
      <c r="N44" t="s">
        <v>42</v>
      </c>
      <c r="P44" t="s">
        <v>56</v>
      </c>
      <c r="Q44" s="206">
        <f>'Nouveau taux'!M39</f>
        <v>4.2000000000000003E-2</v>
      </c>
      <c r="R44" s="207">
        <f>'Nouveau taux'!N39</f>
        <v>6.3E-2</v>
      </c>
      <c r="S44" s="207">
        <f>'Nouveau taux'!O39</f>
        <v>2.4E-2</v>
      </c>
      <c r="T44" s="208">
        <f>'Nouveau taux'!P39</f>
        <v>2.9000000000000001E-2</v>
      </c>
      <c r="V44" t="s">
        <v>67</v>
      </c>
      <c r="W44" s="215">
        <f t="shared" si="3"/>
        <v>200000</v>
      </c>
    </row>
    <row r="45" spans="2:23" ht="16.5" thickTop="1" thickBot="1" x14ac:dyDescent="0.3">
      <c r="B45" s="411"/>
      <c r="L45" t="s">
        <v>10</v>
      </c>
      <c r="N45" t="s">
        <v>10</v>
      </c>
      <c r="P45" t="s">
        <v>57</v>
      </c>
      <c r="Q45" s="206">
        <f>'Nouveau taux'!M40</f>
        <v>6.7000000000000004E-2</v>
      </c>
      <c r="R45" s="207">
        <f>'Nouveau taux'!N40</f>
        <v>0.104</v>
      </c>
      <c r="S45" s="207">
        <f>'Nouveau taux'!O40</f>
        <v>3.5999999999999997E-2</v>
      </c>
      <c r="T45" s="208">
        <f>'Nouveau taux'!P40</f>
        <v>5.7000000000000002E-2</v>
      </c>
      <c r="V45" s="197">
        <f>Calculateur!Y84</f>
        <v>0</v>
      </c>
      <c r="W45" s="215">
        <f t="shared" si="3"/>
        <v>225000</v>
      </c>
    </row>
    <row r="46" spans="2:23" ht="16.5" thickTop="1" thickBot="1" x14ac:dyDescent="0.3">
      <c r="B46" s="411"/>
      <c r="L46" s="180" t="str">
        <f>IF(OR(Calculateur!I86="X",Calculateur!I86="x"),L44,L43)</f>
        <v>Homme</v>
      </c>
      <c r="N46" s="180" t="str">
        <f>IF(OR(Calculateur!I100="X",Calculateur!I100="x"),N43,N44)</f>
        <v>Femme</v>
      </c>
      <c r="P46" t="s">
        <v>58</v>
      </c>
      <c r="Q46" s="206">
        <f>'Nouveau taux'!M41</f>
        <v>0.113</v>
      </c>
      <c r="R46" s="207">
        <f>'Nouveau taux'!N41</f>
        <v>0.16400000000000001</v>
      </c>
      <c r="S46" s="207">
        <f>'Nouveau taux'!O41</f>
        <v>5.6000000000000001E-2</v>
      </c>
      <c r="T46" s="208">
        <f>'Nouveau taux'!P41</f>
        <v>8.4000000000000005E-2</v>
      </c>
      <c r="V46" t="s">
        <v>68</v>
      </c>
      <c r="W46" s="216">
        <f t="shared" si="3"/>
        <v>250000</v>
      </c>
    </row>
    <row r="47" spans="2:23" ht="16.5" thickTop="1" thickBot="1" x14ac:dyDescent="0.3">
      <c r="P47" t="s">
        <v>59</v>
      </c>
      <c r="Q47" s="209">
        <f>'Nouveau taux'!M42</f>
        <v>0.156</v>
      </c>
      <c r="R47" s="210">
        <f>'Nouveau taux'!N42</f>
        <v>0.255</v>
      </c>
      <c r="S47" s="210">
        <f>'Nouveau taux'!O42</f>
        <v>8.7999999999999995E-2</v>
      </c>
      <c r="T47" s="211">
        <f>'Nouveau taux'!P42</f>
        <v>0.13100000000000001</v>
      </c>
      <c r="V47" s="197">
        <f>Calculateur!Y100</f>
        <v>0</v>
      </c>
      <c r="W47" t="s">
        <v>67</v>
      </c>
    </row>
    <row r="48" spans="2:23" ht="16.5" thickTop="1" thickBot="1" x14ac:dyDescent="0.3">
      <c r="B48" s="411"/>
      <c r="L48" t="s">
        <v>43</v>
      </c>
      <c r="P48" t="s">
        <v>72</v>
      </c>
      <c r="W48" s="197">
        <f>Calculateur!Y90</f>
        <v>0</v>
      </c>
    </row>
    <row r="49" spans="2:23" ht="16.5" thickTop="1" thickBot="1" x14ac:dyDescent="0.3">
      <c r="B49" s="411"/>
      <c r="L49" t="s">
        <v>44</v>
      </c>
      <c r="N49" t="s">
        <v>44</v>
      </c>
      <c r="P49" s="180" t="e">
        <f>VLOOKUP(Calculateur!B92,$O$59:$P$110,2,FALSE)</f>
        <v>#N/A</v>
      </c>
      <c r="R49" t="s">
        <v>74</v>
      </c>
      <c r="W49" t="s">
        <v>68</v>
      </c>
    </row>
    <row r="50" spans="2:23" ht="16.5" thickTop="1" thickBot="1" x14ac:dyDescent="0.3">
      <c r="L50" t="s">
        <v>45</v>
      </c>
      <c r="N50" t="s">
        <v>45</v>
      </c>
      <c r="P50" t="s">
        <v>73</v>
      </c>
      <c r="R50" s="201">
        <f>IF(ISERROR(P49),0,IF(AND(L40=L37,L18=L15,IF(R19=R15,N21=N19,IF(R19=R16,N21=N18,FALSE))),VLOOKUP(P49,P38:T47,M54,FALSE),0))</f>
        <v>0</v>
      </c>
      <c r="W50" s="197">
        <f>Calculateur!Y106</f>
        <v>0</v>
      </c>
    </row>
    <row r="51" spans="2:23" ht="16.5" thickTop="1" thickBot="1" x14ac:dyDescent="0.3">
      <c r="L51" t="s">
        <v>48</v>
      </c>
      <c r="N51" t="s">
        <v>48</v>
      </c>
      <c r="P51" s="180" t="e">
        <f>VLOOKUP(Calculateur!B108,$O$59:$P$110,2,FALSE)</f>
        <v>#N/A</v>
      </c>
      <c r="R51" t="s">
        <v>75</v>
      </c>
    </row>
    <row r="52" spans="2:23" ht="16.5" thickTop="1" thickBot="1" x14ac:dyDescent="0.3">
      <c r="L52" t="s">
        <v>49</v>
      </c>
      <c r="N52" t="s">
        <v>49</v>
      </c>
      <c r="R52" s="201">
        <f>IF(ISERROR(P51),0,IF(AND(N40=N37,L28=L25,L18=L15),VLOOKUP(P51,P38:T47,O54,FALSE),0))</f>
        <v>0</v>
      </c>
    </row>
    <row r="53" spans="2:23" ht="16.5" thickTop="1" thickBot="1" x14ac:dyDescent="0.3">
      <c r="L53" t="s">
        <v>10</v>
      </c>
      <c r="N53" t="s">
        <v>10</v>
      </c>
    </row>
    <row r="54" spans="2:23" ht="16.5" thickTop="1" thickBot="1" x14ac:dyDescent="0.3">
      <c r="L54" s="170" t="str">
        <f>IF(OR(Calculateur!I90="X",Calculateur!I90="x"),Calculateur!K90,Calculateur!K92)</f>
        <v>Fumeur</v>
      </c>
      <c r="M54" s="229">
        <f>IF(AND(L46=L43,OR(L54=L49,L54=L51)),2,IF(AND(L46=L43,OR(L54=L50,L54=L52)),3,IF(AND(L46=L44,OR(L54=L49,L54=L51)),4,5)))</f>
        <v>3</v>
      </c>
      <c r="N54" s="229" t="str">
        <f>IF(OR(Calculateur!I106="X",Calculateur!I106="x"),Calculateur!K106,Calculateur!K108)</f>
        <v>Fumeuse</v>
      </c>
      <c r="O54" s="230">
        <f>IF(AND(N46=N43,OR(N54=N49,N54=N51)),2,IF(AND(N46=N43,OR(N54=N50,N54=N52)),3,IF(AND(N46=N44,OR(N54=N49,N54=N51)),4,5)))</f>
        <v>5</v>
      </c>
    </row>
    <row r="55" spans="2:23" ht="15.75" thickTop="1" x14ac:dyDescent="0.25"/>
    <row r="56" spans="2:23" x14ac:dyDescent="0.25">
      <c r="L56" t="s">
        <v>106</v>
      </c>
    </row>
    <row r="57" spans="2:23" x14ac:dyDescent="0.25">
      <c r="L57" t="s">
        <v>107</v>
      </c>
    </row>
    <row r="58" spans="2:23" ht="15.75" thickBot="1" x14ac:dyDescent="0.3"/>
    <row r="59" spans="2:23" ht="16.5" thickTop="1" thickBot="1" x14ac:dyDescent="0.3">
      <c r="O59" s="225">
        <v>18</v>
      </c>
      <c r="P59" s="222" t="s">
        <v>50</v>
      </c>
    </row>
    <row r="60" spans="2:23" ht="15.75" thickTop="1" x14ac:dyDescent="0.25">
      <c r="O60" s="226">
        <f>O59+1</f>
        <v>19</v>
      </c>
      <c r="P60" s="223" t="s">
        <v>50</v>
      </c>
    </row>
    <row r="61" spans="2:23" x14ac:dyDescent="0.25">
      <c r="O61" s="227">
        <f t="shared" ref="O61:O110" si="4">O60+1</f>
        <v>20</v>
      </c>
      <c r="P61" s="223" t="s">
        <v>50</v>
      </c>
    </row>
    <row r="62" spans="2:23" x14ac:dyDescent="0.25">
      <c r="O62" s="227">
        <f t="shared" si="4"/>
        <v>21</v>
      </c>
      <c r="P62" s="223" t="s">
        <v>50</v>
      </c>
    </row>
    <row r="63" spans="2:23" x14ac:dyDescent="0.25">
      <c r="O63" s="227">
        <f t="shared" si="4"/>
        <v>22</v>
      </c>
      <c r="P63" s="223" t="s">
        <v>50</v>
      </c>
    </row>
    <row r="64" spans="2:23" x14ac:dyDescent="0.25">
      <c r="O64" s="227">
        <f t="shared" si="4"/>
        <v>23</v>
      </c>
      <c r="P64" s="223" t="s">
        <v>50</v>
      </c>
    </row>
    <row r="65" spans="15:16" x14ac:dyDescent="0.25">
      <c r="O65" s="227">
        <f t="shared" si="4"/>
        <v>24</v>
      </c>
      <c r="P65" s="223" t="s">
        <v>50</v>
      </c>
    </row>
    <row r="66" spans="15:16" x14ac:dyDescent="0.25">
      <c r="O66" s="227">
        <f t="shared" si="4"/>
        <v>25</v>
      </c>
      <c r="P66" s="223" t="s">
        <v>51</v>
      </c>
    </row>
    <row r="67" spans="15:16" x14ac:dyDescent="0.25">
      <c r="O67" s="227">
        <f t="shared" si="4"/>
        <v>26</v>
      </c>
      <c r="P67" s="223" t="s">
        <v>51</v>
      </c>
    </row>
    <row r="68" spans="15:16" x14ac:dyDescent="0.25">
      <c r="O68" s="227">
        <f t="shared" si="4"/>
        <v>27</v>
      </c>
      <c r="P68" s="223" t="s">
        <v>51</v>
      </c>
    </row>
    <row r="69" spans="15:16" x14ac:dyDescent="0.25">
      <c r="O69" s="227">
        <f t="shared" si="4"/>
        <v>28</v>
      </c>
      <c r="P69" s="223" t="s">
        <v>51</v>
      </c>
    </row>
    <row r="70" spans="15:16" x14ac:dyDescent="0.25">
      <c r="O70" s="227">
        <f t="shared" si="4"/>
        <v>29</v>
      </c>
      <c r="P70" s="223" t="s">
        <v>51</v>
      </c>
    </row>
    <row r="71" spans="15:16" x14ac:dyDescent="0.25">
      <c r="O71" s="227">
        <f t="shared" si="4"/>
        <v>30</v>
      </c>
      <c r="P71" s="223" t="s">
        <v>52</v>
      </c>
    </row>
    <row r="72" spans="15:16" x14ac:dyDescent="0.25">
      <c r="O72" s="227">
        <f t="shared" si="4"/>
        <v>31</v>
      </c>
      <c r="P72" s="223" t="s">
        <v>52</v>
      </c>
    </row>
    <row r="73" spans="15:16" x14ac:dyDescent="0.25">
      <c r="O73" s="227">
        <f t="shared" si="4"/>
        <v>32</v>
      </c>
      <c r="P73" s="223" t="s">
        <v>52</v>
      </c>
    </row>
    <row r="74" spans="15:16" x14ac:dyDescent="0.25">
      <c r="O74" s="227">
        <f t="shared" si="4"/>
        <v>33</v>
      </c>
      <c r="P74" s="223" t="s">
        <v>52</v>
      </c>
    </row>
    <row r="75" spans="15:16" x14ac:dyDescent="0.25">
      <c r="O75" s="227">
        <f t="shared" si="4"/>
        <v>34</v>
      </c>
      <c r="P75" s="223" t="s">
        <v>52</v>
      </c>
    </row>
    <row r="76" spans="15:16" x14ac:dyDescent="0.25">
      <c r="O76" s="227">
        <f t="shared" si="4"/>
        <v>35</v>
      </c>
      <c r="P76" s="223" t="s">
        <v>53</v>
      </c>
    </row>
    <row r="77" spans="15:16" x14ac:dyDescent="0.25">
      <c r="O77" s="227">
        <f t="shared" si="4"/>
        <v>36</v>
      </c>
      <c r="P77" s="223" t="s">
        <v>53</v>
      </c>
    </row>
    <row r="78" spans="15:16" x14ac:dyDescent="0.25">
      <c r="O78" s="227">
        <f t="shared" si="4"/>
        <v>37</v>
      </c>
      <c r="P78" s="223" t="s">
        <v>53</v>
      </c>
    </row>
    <row r="79" spans="15:16" x14ac:dyDescent="0.25">
      <c r="O79" s="227">
        <f t="shared" si="4"/>
        <v>38</v>
      </c>
      <c r="P79" s="223" t="s">
        <v>53</v>
      </c>
    </row>
    <row r="80" spans="15:16" x14ac:dyDescent="0.25">
      <c r="O80" s="227">
        <f t="shared" si="4"/>
        <v>39</v>
      </c>
      <c r="P80" s="223" t="s">
        <v>53</v>
      </c>
    </row>
    <row r="81" spans="15:16" x14ac:dyDescent="0.25">
      <c r="O81" s="227">
        <f t="shared" si="4"/>
        <v>40</v>
      </c>
      <c r="P81" s="223" t="s">
        <v>54</v>
      </c>
    </row>
    <row r="82" spans="15:16" x14ac:dyDescent="0.25">
      <c r="O82" s="227">
        <f t="shared" si="4"/>
        <v>41</v>
      </c>
      <c r="P82" s="223" t="s">
        <v>54</v>
      </c>
    </row>
    <row r="83" spans="15:16" x14ac:dyDescent="0.25">
      <c r="O83" s="227">
        <f t="shared" si="4"/>
        <v>42</v>
      </c>
      <c r="P83" s="223" t="s">
        <v>54</v>
      </c>
    </row>
    <row r="84" spans="15:16" x14ac:dyDescent="0.25">
      <c r="O84" s="227">
        <f t="shared" si="4"/>
        <v>43</v>
      </c>
      <c r="P84" s="223" t="s">
        <v>54</v>
      </c>
    </row>
    <row r="85" spans="15:16" x14ac:dyDescent="0.25">
      <c r="O85" s="227">
        <f t="shared" si="4"/>
        <v>44</v>
      </c>
      <c r="P85" s="223" t="s">
        <v>54</v>
      </c>
    </row>
    <row r="86" spans="15:16" x14ac:dyDescent="0.25">
      <c r="O86" s="227">
        <f t="shared" si="4"/>
        <v>45</v>
      </c>
      <c r="P86" s="223" t="s">
        <v>55</v>
      </c>
    </row>
    <row r="87" spans="15:16" x14ac:dyDescent="0.25">
      <c r="O87" s="227">
        <f t="shared" si="4"/>
        <v>46</v>
      </c>
      <c r="P87" s="223" t="s">
        <v>55</v>
      </c>
    </row>
    <row r="88" spans="15:16" x14ac:dyDescent="0.25">
      <c r="O88" s="227">
        <f t="shared" si="4"/>
        <v>47</v>
      </c>
      <c r="P88" s="223" t="s">
        <v>55</v>
      </c>
    </row>
    <row r="89" spans="15:16" x14ac:dyDescent="0.25">
      <c r="O89" s="227">
        <f t="shared" si="4"/>
        <v>48</v>
      </c>
      <c r="P89" s="223" t="s">
        <v>55</v>
      </c>
    </row>
    <row r="90" spans="15:16" x14ac:dyDescent="0.25">
      <c r="O90" s="227">
        <f t="shared" si="4"/>
        <v>49</v>
      </c>
      <c r="P90" s="223" t="s">
        <v>55</v>
      </c>
    </row>
    <row r="91" spans="15:16" x14ac:dyDescent="0.25">
      <c r="O91" s="227">
        <f t="shared" si="4"/>
        <v>50</v>
      </c>
      <c r="P91" s="223" t="s">
        <v>56</v>
      </c>
    </row>
    <row r="92" spans="15:16" x14ac:dyDescent="0.25">
      <c r="O92" s="227">
        <f t="shared" si="4"/>
        <v>51</v>
      </c>
      <c r="P92" s="223" t="s">
        <v>56</v>
      </c>
    </row>
    <row r="93" spans="15:16" x14ac:dyDescent="0.25">
      <c r="O93" s="227">
        <f t="shared" si="4"/>
        <v>52</v>
      </c>
      <c r="P93" s="223" t="s">
        <v>56</v>
      </c>
    </row>
    <row r="94" spans="15:16" x14ac:dyDescent="0.25">
      <c r="O94" s="227">
        <f t="shared" si="4"/>
        <v>53</v>
      </c>
      <c r="P94" s="223" t="s">
        <v>56</v>
      </c>
    </row>
    <row r="95" spans="15:16" x14ac:dyDescent="0.25">
      <c r="O95" s="227">
        <f t="shared" si="4"/>
        <v>54</v>
      </c>
      <c r="P95" s="223" t="s">
        <v>56</v>
      </c>
    </row>
    <row r="96" spans="15:16" x14ac:dyDescent="0.25">
      <c r="O96" s="227">
        <f t="shared" si="4"/>
        <v>55</v>
      </c>
      <c r="P96" s="223" t="s">
        <v>57</v>
      </c>
    </row>
    <row r="97" spans="15:16" x14ac:dyDescent="0.25">
      <c r="O97" s="227">
        <f t="shared" si="4"/>
        <v>56</v>
      </c>
      <c r="P97" s="223" t="s">
        <v>57</v>
      </c>
    </row>
    <row r="98" spans="15:16" x14ac:dyDescent="0.25">
      <c r="O98" s="227">
        <f t="shared" si="4"/>
        <v>57</v>
      </c>
      <c r="P98" s="223" t="s">
        <v>57</v>
      </c>
    </row>
    <row r="99" spans="15:16" x14ac:dyDescent="0.25">
      <c r="O99" s="227">
        <f t="shared" si="4"/>
        <v>58</v>
      </c>
      <c r="P99" s="223" t="s">
        <v>57</v>
      </c>
    </row>
    <row r="100" spans="15:16" x14ac:dyDescent="0.25">
      <c r="O100" s="227">
        <f t="shared" si="4"/>
        <v>59</v>
      </c>
      <c r="P100" s="223" t="s">
        <v>57</v>
      </c>
    </row>
    <row r="101" spans="15:16" x14ac:dyDescent="0.25">
      <c r="O101" s="227">
        <f t="shared" si="4"/>
        <v>60</v>
      </c>
      <c r="P101" s="223" t="s">
        <v>58</v>
      </c>
    </row>
    <row r="102" spans="15:16" x14ac:dyDescent="0.25">
      <c r="O102" s="227">
        <f t="shared" si="4"/>
        <v>61</v>
      </c>
      <c r="P102" s="223" t="s">
        <v>58</v>
      </c>
    </row>
    <row r="103" spans="15:16" x14ac:dyDescent="0.25">
      <c r="O103" s="227">
        <f t="shared" si="4"/>
        <v>62</v>
      </c>
      <c r="P103" s="223" t="s">
        <v>58</v>
      </c>
    </row>
    <row r="104" spans="15:16" x14ac:dyDescent="0.25">
      <c r="O104" s="227">
        <f t="shared" si="4"/>
        <v>63</v>
      </c>
      <c r="P104" s="223" t="s">
        <v>58</v>
      </c>
    </row>
    <row r="105" spans="15:16" x14ac:dyDescent="0.25">
      <c r="O105" s="227">
        <f t="shared" si="4"/>
        <v>64</v>
      </c>
      <c r="P105" s="223" t="s">
        <v>58</v>
      </c>
    </row>
    <row r="106" spans="15:16" x14ac:dyDescent="0.25">
      <c r="O106" s="227">
        <f t="shared" si="4"/>
        <v>65</v>
      </c>
      <c r="P106" s="223" t="s">
        <v>59</v>
      </c>
    </row>
    <row r="107" spans="15:16" x14ac:dyDescent="0.25">
      <c r="O107" s="227">
        <f t="shared" si="4"/>
        <v>66</v>
      </c>
      <c r="P107" s="223" t="s">
        <v>59</v>
      </c>
    </row>
    <row r="108" spans="15:16" x14ac:dyDescent="0.25">
      <c r="O108" s="227">
        <f t="shared" si="4"/>
        <v>67</v>
      </c>
      <c r="P108" s="223" t="s">
        <v>59</v>
      </c>
    </row>
    <row r="109" spans="15:16" x14ac:dyDescent="0.25">
      <c r="O109" s="227">
        <f t="shared" si="4"/>
        <v>68</v>
      </c>
      <c r="P109" s="223" t="s">
        <v>59</v>
      </c>
    </row>
    <row r="110" spans="15:16" ht="15.75" thickBot="1" x14ac:dyDescent="0.3">
      <c r="O110" s="228">
        <f t="shared" si="4"/>
        <v>69</v>
      </c>
      <c r="P110" s="224" t="s">
        <v>59</v>
      </c>
    </row>
    <row r="111" spans="15:16" ht="15.75" thickTop="1" x14ac:dyDescent="0.25"/>
  </sheetData>
  <mergeCells count="2">
    <mergeCell ref="Q36:R36"/>
    <mergeCell ref="S36:T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E115"/>
  <sheetViews>
    <sheetView topLeftCell="A4" zoomScaleNormal="100" workbookViewId="0">
      <selection activeCell="L15" sqref="L15"/>
    </sheetView>
  </sheetViews>
  <sheetFormatPr baseColWidth="10" defaultRowHeight="15" x14ac:dyDescent="0.25"/>
  <cols>
    <col min="1" max="1" width="12.28515625" style="411" customWidth="1"/>
    <col min="2" max="2" width="15.7109375" customWidth="1"/>
    <col min="6" max="6" width="13.28515625" customWidth="1"/>
    <col min="10" max="10" width="14.140625" customWidth="1"/>
    <col min="11" max="11" width="17.42578125" customWidth="1"/>
    <col min="13" max="13" width="11.5703125" customWidth="1"/>
    <col min="18" max="18" width="39.5703125" customWidth="1"/>
    <col min="19" max="19" width="14.5703125" customWidth="1"/>
    <col min="20" max="20" width="15.140625" customWidth="1"/>
    <col min="22" max="22" width="11.5703125" bestFit="1" customWidth="1"/>
    <col min="23" max="23" width="14.28515625" bestFit="1" customWidth="1"/>
    <col min="24" max="24" width="16" bestFit="1" customWidth="1"/>
    <col min="25" max="25" width="13.28515625" bestFit="1" customWidth="1"/>
    <col min="26" max="26" width="16" bestFit="1" customWidth="1"/>
  </cols>
  <sheetData>
    <row r="1" spans="1:31" s="411" customFormat="1" ht="18" customHeight="1" x14ac:dyDescent="0.25">
      <c r="A1" s="592" t="s">
        <v>332</v>
      </c>
    </row>
    <row r="2" spans="1:31" x14ac:dyDescent="0.25">
      <c r="B2" s="566" t="s">
        <v>340</v>
      </c>
      <c r="C2" s="566"/>
      <c r="D2" s="566"/>
      <c r="E2" s="566"/>
      <c r="F2" s="566"/>
      <c r="G2" s="566"/>
      <c r="H2" s="566"/>
      <c r="I2" s="566"/>
      <c r="J2" s="566"/>
      <c r="K2" s="566"/>
      <c r="L2" s="566"/>
      <c r="M2" s="513"/>
      <c r="U2" s="411"/>
      <c r="V2" s="411"/>
      <c r="W2" s="411"/>
      <c r="X2" s="411"/>
      <c r="Y2" s="411"/>
      <c r="Z2" s="411"/>
      <c r="AA2" s="411"/>
      <c r="AB2" s="411"/>
    </row>
    <row r="3" spans="1:31" s="411" customFormat="1" ht="15.75" thickBot="1" x14ac:dyDescent="0.3">
      <c r="B3" s="272" t="s">
        <v>338</v>
      </c>
    </row>
    <row r="4" spans="1:31" ht="16.5" thickTop="1" thickBot="1" x14ac:dyDescent="0.3">
      <c r="B4" s="3" t="s">
        <v>124</v>
      </c>
      <c r="C4" s="4"/>
      <c r="D4" s="4"/>
      <c r="E4" s="4"/>
      <c r="F4" s="5"/>
      <c r="G4" s="3" t="s">
        <v>125</v>
      </c>
      <c r="H4" s="4"/>
      <c r="I4" s="4"/>
      <c r="J4" s="4"/>
      <c r="K4" s="3" t="s">
        <v>126</v>
      </c>
      <c r="L4" s="593"/>
      <c r="M4" s="591" t="s">
        <v>331</v>
      </c>
      <c r="N4" s="594">
        <v>0.5</v>
      </c>
      <c r="O4" s="588"/>
      <c r="P4" s="588"/>
      <c r="Q4" s="5"/>
      <c r="R4" s="636" t="s">
        <v>129</v>
      </c>
      <c r="S4" s="4"/>
      <c r="T4" s="5"/>
      <c r="U4" s="411"/>
      <c r="V4" s="411"/>
      <c r="W4" s="411"/>
      <c r="X4" s="411"/>
      <c r="Y4" s="411"/>
      <c r="Z4" s="411"/>
      <c r="AA4" s="411"/>
      <c r="AB4" s="411"/>
      <c r="AC4" s="411"/>
      <c r="AD4" s="411"/>
      <c r="AE4" s="411"/>
    </row>
    <row r="5" spans="1:31" ht="16.5" thickTop="1" thickBot="1" x14ac:dyDescent="0.3">
      <c r="B5" s="127" t="s">
        <v>291</v>
      </c>
      <c r="C5" s="243" t="s">
        <v>21</v>
      </c>
      <c r="D5" s="185"/>
      <c r="E5" s="186"/>
      <c r="F5" s="8"/>
      <c r="G5" s="6" t="s">
        <v>291</v>
      </c>
      <c r="H5" s="7"/>
      <c r="I5" s="7"/>
      <c r="J5" s="7"/>
      <c r="K5" s="6" t="s">
        <v>98</v>
      </c>
      <c r="L5" s="589">
        <v>5.6800000000000003E-2</v>
      </c>
      <c r="M5" s="590">
        <f>L5*$N$4</f>
        <v>2.8400000000000002E-2</v>
      </c>
      <c r="N5" s="7" t="s">
        <v>323</v>
      </c>
      <c r="O5" s="513"/>
      <c r="P5" s="7"/>
      <c r="Q5" s="7"/>
      <c r="R5" s="629" t="s">
        <v>136</v>
      </c>
      <c r="S5" s="630">
        <v>0.27700000000000002</v>
      </c>
      <c r="T5" s="8"/>
      <c r="U5" s="411"/>
      <c r="V5" s="411"/>
      <c r="W5" s="411"/>
      <c r="X5" s="411"/>
      <c r="Y5" s="411"/>
      <c r="Z5" s="411"/>
      <c r="AA5" s="411"/>
      <c r="AB5" s="411"/>
      <c r="AC5" s="411"/>
      <c r="AD5" s="411"/>
      <c r="AE5" s="411"/>
    </row>
    <row r="6" spans="1:31" ht="16.5" thickTop="1" thickBot="1" x14ac:dyDescent="0.3">
      <c r="B6" s="6"/>
      <c r="C6" s="232" t="s">
        <v>5</v>
      </c>
      <c r="D6" s="233" t="s">
        <v>6</v>
      </c>
      <c r="E6" s="234" t="s">
        <v>7</v>
      </c>
      <c r="F6" s="8"/>
      <c r="G6" s="6"/>
      <c r="H6" s="259" t="s">
        <v>27</v>
      </c>
      <c r="I6" s="260" t="s">
        <v>28</v>
      </c>
      <c r="J6" s="7"/>
      <c r="K6" s="502" t="s">
        <v>99</v>
      </c>
      <c r="L6" s="583">
        <v>1.67</v>
      </c>
      <c r="M6" s="574">
        <f>L6*$N$4</f>
        <v>0.83499999999999996</v>
      </c>
      <c r="N6" s="7" t="s">
        <v>329</v>
      </c>
      <c r="O6" s="7"/>
      <c r="Q6" s="7"/>
      <c r="R6" s="631" t="s">
        <v>188</v>
      </c>
      <c r="S6" s="632">
        <v>0.59799999999999998</v>
      </c>
      <c r="T6" s="8"/>
      <c r="U6" s="411"/>
      <c r="V6" s="411"/>
      <c r="W6" s="411"/>
      <c r="X6" s="411"/>
      <c r="Y6" s="411"/>
      <c r="Z6" s="411"/>
      <c r="AA6" s="411"/>
      <c r="AB6" s="411"/>
      <c r="AC6" s="411"/>
      <c r="AD6" s="411"/>
      <c r="AE6" s="411"/>
    </row>
    <row r="7" spans="1:31" ht="16.5" thickTop="1" thickBot="1" x14ac:dyDescent="0.3">
      <c r="B7" s="128" t="s">
        <v>80</v>
      </c>
      <c r="C7" s="640">
        <v>48.83</v>
      </c>
      <c r="D7" s="641">
        <v>67.81</v>
      </c>
      <c r="E7" s="642">
        <v>82.05</v>
      </c>
      <c r="F7" s="8"/>
      <c r="G7" s="128" t="s">
        <v>12</v>
      </c>
      <c r="H7" s="640">
        <v>11.22</v>
      </c>
      <c r="I7" s="642">
        <v>14.92</v>
      </c>
      <c r="J7" s="7"/>
      <c r="K7" s="6" t="s">
        <v>324</v>
      </c>
      <c r="L7" s="584">
        <v>0.59</v>
      </c>
      <c r="M7" s="616">
        <f>L7*$N$4</f>
        <v>0.29499999999999998</v>
      </c>
      <c r="N7" s="7" t="s">
        <v>323</v>
      </c>
      <c r="P7" s="627" t="s">
        <v>307</v>
      </c>
      <c r="Q7" s="7"/>
      <c r="R7" s="631" t="s">
        <v>319</v>
      </c>
      <c r="S7" s="632">
        <v>0.56499999999999995</v>
      </c>
      <c r="T7" s="8"/>
      <c r="U7" s="411"/>
      <c r="V7" s="411"/>
      <c r="W7" s="411"/>
      <c r="X7" s="411"/>
      <c r="Y7" s="411"/>
      <c r="Z7" s="411"/>
      <c r="AA7" s="411"/>
      <c r="AB7" s="411"/>
      <c r="AC7" s="411"/>
      <c r="AD7" s="411"/>
      <c r="AE7" s="411"/>
    </row>
    <row r="8" spans="1:31" ht="15.75" thickTop="1" x14ac:dyDescent="0.25">
      <c r="B8" s="128" t="s">
        <v>81</v>
      </c>
      <c r="C8" s="643">
        <v>78.12</v>
      </c>
      <c r="D8" s="644">
        <v>108.5</v>
      </c>
      <c r="E8" s="645">
        <v>131.29</v>
      </c>
      <c r="F8" s="8"/>
      <c r="G8" s="128" t="s">
        <v>13</v>
      </c>
      <c r="H8" s="643">
        <v>21.31</v>
      </c>
      <c r="I8" s="645">
        <v>28.34</v>
      </c>
      <c r="J8" s="7"/>
      <c r="K8" s="6"/>
      <c r="L8" s="626" t="s">
        <v>307</v>
      </c>
      <c r="M8" s="713" t="s">
        <v>41</v>
      </c>
      <c r="N8" s="714"/>
      <c r="O8" s="714" t="s">
        <v>42</v>
      </c>
      <c r="P8" s="715"/>
      <c r="Q8" s="7"/>
      <c r="R8" s="631" t="s">
        <v>333</v>
      </c>
      <c r="S8" s="632">
        <v>0.112</v>
      </c>
      <c r="T8" s="8"/>
      <c r="U8" s="411"/>
      <c r="V8" s="411"/>
      <c r="W8" s="411"/>
      <c r="X8" s="411"/>
      <c r="Y8" s="411"/>
      <c r="Z8" s="411"/>
      <c r="AA8" s="411"/>
      <c r="AB8" s="411"/>
      <c r="AC8" s="411"/>
      <c r="AD8" s="411"/>
      <c r="AE8" s="411"/>
    </row>
    <row r="9" spans="1:31" ht="15.75" thickBot="1" x14ac:dyDescent="0.3">
      <c r="B9" s="128" t="s">
        <v>82</v>
      </c>
      <c r="C9" s="643">
        <v>124.5</v>
      </c>
      <c r="D9" s="644">
        <v>172.92</v>
      </c>
      <c r="E9" s="645">
        <v>209.24</v>
      </c>
      <c r="F9" s="8"/>
      <c r="G9" s="128" t="s">
        <v>14</v>
      </c>
      <c r="H9" s="643">
        <v>29.61</v>
      </c>
      <c r="I9" s="645">
        <v>39.380000000000003</v>
      </c>
      <c r="J9" s="7"/>
      <c r="K9" s="6"/>
      <c r="L9" s="7" t="s">
        <v>47</v>
      </c>
      <c r="M9" s="617" t="s">
        <v>44</v>
      </c>
      <c r="N9" s="241" t="s">
        <v>45</v>
      </c>
      <c r="O9" s="241" t="s">
        <v>48</v>
      </c>
      <c r="P9" s="618" t="s">
        <v>49</v>
      </c>
      <c r="Q9" s="7"/>
      <c r="R9" s="633" t="s">
        <v>325</v>
      </c>
      <c r="S9" s="632">
        <v>0.46400000000000002</v>
      </c>
      <c r="T9" s="8"/>
      <c r="U9" s="411"/>
      <c r="V9" s="411"/>
      <c r="W9" s="411"/>
      <c r="X9" s="411"/>
      <c r="Y9" s="411"/>
      <c r="Z9" s="411"/>
      <c r="AA9" s="411"/>
      <c r="AB9" s="411"/>
      <c r="AC9" s="411"/>
      <c r="AD9" s="411"/>
      <c r="AE9" s="411"/>
    </row>
    <row r="10" spans="1:31" ht="16.5" thickTop="1" thickBot="1" x14ac:dyDescent="0.3">
      <c r="B10" s="128" t="s">
        <v>11</v>
      </c>
      <c r="C10" s="646">
        <v>107.42</v>
      </c>
      <c r="D10" s="647">
        <v>149.19</v>
      </c>
      <c r="E10" s="648">
        <v>180.52</v>
      </c>
      <c r="F10" s="8"/>
      <c r="G10" s="128" t="s">
        <v>11</v>
      </c>
      <c r="H10" s="646">
        <v>24.68</v>
      </c>
      <c r="I10" s="648">
        <v>32.82</v>
      </c>
      <c r="J10" s="7"/>
      <c r="K10" s="6"/>
      <c r="L10" s="7" t="s">
        <v>50</v>
      </c>
      <c r="M10" s="619">
        <v>8.9999999999999993E-3</v>
      </c>
      <c r="N10" s="212">
        <v>1.2999999999999999E-2</v>
      </c>
      <c r="O10" s="212">
        <v>5.0000000000000001E-3</v>
      </c>
      <c r="P10" s="620">
        <v>6.0000000000000001E-3</v>
      </c>
      <c r="R10" s="634" t="s">
        <v>31</v>
      </c>
      <c r="S10" s="635">
        <v>0</v>
      </c>
      <c r="T10" s="597"/>
      <c r="U10" s="411"/>
      <c r="V10" s="411"/>
      <c r="W10" s="411"/>
      <c r="X10" s="411"/>
      <c r="Y10" s="411"/>
      <c r="Z10" s="411"/>
      <c r="AA10" s="411"/>
      <c r="AB10" s="411"/>
      <c r="AC10" s="411"/>
      <c r="AD10" s="411"/>
      <c r="AE10" s="411"/>
    </row>
    <row r="11" spans="1:31" ht="15.75" thickTop="1" x14ac:dyDescent="0.25">
      <c r="B11" s="6"/>
      <c r="C11" s="649" t="s">
        <v>15</v>
      </c>
      <c r="D11" s="650"/>
      <c r="E11" s="651"/>
      <c r="F11" s="8"/>
      <c r="G11" s="129"/>
      <c r="H11" s="130"/>
      <c r="I11" s="130"/>
      <c r="J11" s="130"/>
      <c r="K11" s="6"/>
      <c r="L11" s="7" t="s">
        <v>51</v>
      </c>
      <c r="M11" s="619">
        <v>8.9999999999999993E-3</v>
      </c>
      <c r="N11" s="213">
        <v>1.2999999999999999E-2</v>
      </c>
      <c r="O11" s="213">
        <v>5.0000000000000001E-3</v>
      </c>
      <c r="P11" s="621">
        <v>6.0000000000000001E-3</v>
      </c>
      <c r="Q11" s="8"/>
      <c r="U11" s="411"/>
      <c r="V11" s="411"/>
      <c r="W11" s="411"/>
      <c r="X11" s="411"/>
      <c r="Y11" s="411"/>
      <c r="Z11" s="411"/>
      <c r="AA11" s="411"/>
      <c r="AB11" s="411"/>
      <c r="AC11" s="411"/>
      <c r="AD11" s="411"/>
      <c r="AE11" s="411"/>
    </row>
    <row r="12" spans="1:31" ht="15.75" thickBot="1" x14ac:dyDescent="0.3">
      <c r="B12" s="6"/>
      <c r="C12" s="652" t="s">
        <v>5</v>
      </c>
      <c r="D12" s="653" t="s">
        <v>6</v>
      </c>
      <c r="E12" s="654" t="s">
        <v>7</v>
      </c>
      <c r="F12" s="8"/>
      <c r="K12" s="6"/>
      <c r="L12" s="7" t="s">
        <v>52</v>
      </c>
      <c r="M12" s="619">
        <v>8.9999999999999993E-3</v>
      </c>
      <c r="N12" s="213">
        <v>1.2999999999999999E-2</v>
      </c>
      <c r="O12" s="213">
        <v>5.0000000000000001E-3</v>
      </c>
      <c r="P12" s="621">
        <v>6.0000000000000001E-3</v>
      </c>
      <c r="U12" s="411"/>
      <c r="V12" s="411"/>
      <c r="W12" s="411"/>
      <c r="X12" s="411"/>
      <c r="Y12" s="411"/>
      <c r="Z12" s="411"/>
      <c r="AA12" s="411"/>
      <c r="AB12" s="411"/>
      <c r="AC12" s="411"/>
      <c r="AD12" s="411"/>
      <c r="AE12" s="411"/>
    </row>
    <row r="13" spans="1:31" ht="15.75" thickTop="1" x14ac:dyDescent="0.25">
      <c r="B13" s="128" t="s">
        <v>80</v>
      </c>
      <c r="C13" s="640">
        <v>17.5</v>
      </c>
      <c r="D13" s="641">
        <v>25.73</v>
      </c>
      <c r="E13" s="642">
        <v>31.14</v>
      </c>
      <c r="F13" s="8"/>
      <c r="G13" s="411"/>
      <c r="H13" s="411"/>
      <c r="I13" s="554"/>
      <c r="J13" s="411"/>
      <c r="K13" s="6"/>
      <c r="L13" s="7" t="s">
        <v>53</v>
      </c>
      <c r="M13" s="622">
        <v>1.2E-2</v>
      </c>
      <c r="N13" s="213">
        <v>1.4999999999999999E-2</v>
      </c>
      <c r="O13" s="213">
        <v>6.0000000000000001E-3</v>
      </c>
      <c r="P13" s="621">
        <v>7.0000000000000001E-3</v>
      </c>
      <c r="Q13" s="8"/>
      <c r="R13" s="3"/>
      <c r="S13" s="4"/>
      <c r="T13" s="5"/>
      <c r="U13" s="411"/>
      <c r="V13" s="411"/>
      <c r="W13" s="411"/>
      <c r="X13" s="411"/>
      <c r="Y13" s="411"/>
      <c r="Z13" s="411"/>
      <c r="AA13" s="411"/>
      <c r="AB13" s="411"/>
      <c r="AC13" s="411"/>
      <c r="AD13" s="411"/>
      <c r="AE13" s="411"/>
    </row>
    <row r="14" spans="1:31" ht="15.75" thickBot="1" x14ac:dyDescent="0.3">
      <c r="B14" s="128" t="s">
        <v>81</v>
      </c>
      <c r="C14" s="643">
        <v>35</v>
      </c>
      <c r="D14" s="644">
        <v>51.46</v>
      </c>
      <c r="E14" s="645">
        <v>62.27</v>
      </c>
      <c r="F14" s="8"/>
      <c r="G14" s="411"/>
      <c r="H14" s="411"/>
      <c r="I14" s="411"/>
      <c r="J14" s="411"/>
      <c r="K14" s="6"/>
      <c r="L14" s="7" t="s">
        <v>54</v>
      </c>
      <c r="M14" s="622">
        <v>1.7000000000000001E-2</v>
      </c>
      <c r="N14" s="213">
        <v>2.5000000000000001E-2</v>
      </c>
      <c r="O14" s="213">
        <v>8.9999999999999993E-3</v>
      </c>
      <c r="P14" s="621">
        <v>1.2999999999999999E-2</v>
      </c>
      <c r="Q14" s="8"/>
      <c r="R14" s="131" t="s">
        <v>130</v>
      </c>
      <c r="S14" s="7"/>
      <c r="T14" s="8"/>
      <c r="U14" s="411"/>
      <c r="V14" s="411"/>
      <c r="W14" s="411"/>
      <c r="X14" s="411"/>
      <c r="Y14" s="411"/>
      <c r="Z14" s="411"/>
      <c r="AA14" s="411"/>
      <c r="AB14" s="411"/>
    </row>
    <row r="15" spans="1:31" ht="16.5" thickTop="1" thickBot="1" x14ac:dyDescent="0.3">
      <c r="B15" s="128" t="s">
        <v>82</v>
      </c>
      <c r="C15" s="643">
        <v>52.49</v>
      </c>
      <c r="D15" s="644">
        <v>77.2</v>
      </c>
      <c r="E15" s="645">
        <v>93.41</v>
      </c>
      <c r="F15" s="8"/>
      <c r="G15" s="411"/>
      <c r="H15" s="411"/>
      <c r="I15" s="411"/>
      <c r="J15" s="411"/>
      <c r="K15" s="6"/>
      <c r="L15" s="7" t="s">
        <v>55</v>
      </c>
      <c r="M15" s="622">
        <v>2.8000000000000001E-2</v>
      </c>
      <c r="N15" s="213">
        <v>0.04</v>
      </c>
      <c r="O15" s="213">
        <v>1.2999999999999999E-2</v>
      </c>
      <c r="P15" s="621">
        <v>1.9E-2</v>
      </c>
      <c r="Q15" s="8"/>
      <c r="R15" s="6"/>
      <c r="S15" s="615">
        <v>0.36799999999999999</v>
      </c>
      <c r="T15" s="8"/>
      <c r="U15" s="411"/>
      <c r="V15" s="411"/>
      <c r="W15" s="411"/>
      <c r="X15" s="411"/>
      <c r="Y15" s="411"/>
      <c r="Z15" s="411"/>
      <c r="AA15" s="411"/>
      <c r="AB15" s="411"/>
    </row>
    <row r="16" spans="1:31" ht="16.5" thickTop="1" thickBot="1" x14ac:dyDescent="0.3">
      <c r="A16" s="596"/>
      <c r="B16" s="128" t="s">
        <v>11</v>
      </c>
      <c r="C16" s="646">
        <v>38.5</v>
      </c>
      <c r="D16" s="647">
        <v>56.61</v>
      </c>
      <c r="E16" s="648">
        <v>68.5</v>
      </c>
      <c r="F16" s="8"/>
      <c r="G16" s="411"/>
      <c r="H16" s="411"/>
      <c r="I16" s="411"/>
      <c r="J16" s="411"/>
      <c r="K16" s="6"/>
      <c r="L16" s="7" t="s">
        <v>56</v>
      </c>
      <c r="M16" s="622">
        <v>4.2000000000000003E-2</v>
      </c>
      <c r="N16" s="213">
        <v>6.3E-2</v>
      </c>
      <c r="O16" s="213">
        <v>2.4E-2</v>
      </c>
      <c r="P16" s="621">
        <v>2.9000000000000001E-2</v>
      </c>
      <c r="Q16" s="8"/>
      <c r="R16" s="129"/>
      <c r="S16" s="130"/>
      <c r="T16" s="9"/>
      <c r="U16" s="411"/>
      <c r="V16" s="411"/>
      <c r="W16" s="411"/>
      <c r="X16" s="411"/>
      <c r="Y16" s="411"/>
      <c r="Z16" s="411"/>
      <c r="AA16" s="411"/>
      <c r="AB16" s="411"/>
    </row>
    <row r="17" spans="1:30" ht="15.75" thickTop="1" x14ac:dyDescent="0.25">
      <c r="A17" s="596"/>
      <c r="B17" s="6"/>
      <c r="C17" s="243" t="s">
        <v>16</v>
      </c>
      <c r="D17" s="185"/>
      <c r="E17" s="186"/>
      <c r="F17" s="8"/>
      <c r="G17" s="411"/>
      <c r="H17" s="411"/>
      <c r="I17" s="411"/>
      <c r="J17" s="411"/>
      <c r="K17" s="6"/>
      <c r="L17" s="7" t="s">
        <v>57</v>
      </c>
      <c r="M17" s="622">
        <v>6.7000000000000004E-2</v>
      </c>
      <c r="N17" s="213">
        <v>0.104</v>
      </c>
      <c r="O17" s="213">
        <v>3.5999999999999997E-2</v>
      </c>
      <c r="P17" s="621">
        <v>5.7000000000000002E-2</v>
      </c>
      <c r="Q17" s="8"/>
      <c r="U17" s="411"/>
      <c r="V17" s="411"/>
      <c r="W17" s="411"/>
      <c r="X17" s="411"/>
      <c r="Y17" s="411"/>
      <c r="Z17" s="411"/>
      <c r="AA17" s="411"/>
      <c r="AB17" s="411"/>
    </row>
    <row r="18" spans="1:30" ht="15.75" thickBot="1" x14ac:dyDescent="0.3">
      <c r="A18" s="596"/>
      <c r="B18" s="6"/>
      <c r="C18" s="232" t="s">
        <v>5</v>
      </c>
      <c r="D18" s="233" t="s">
        <v>6</v>
      </c>
      <c r="E18" s="234" t="s">
        <v>7</v>
      </c>
      <c r="F18" s="8"/>
      <c r="G18" s="411"/>
      <c r="H18" s="411"/>
      <c r="I18" s="411"/>
      <c r="J18" s="411"/>
      <c r="K18" s="6"/>
      <c r="L18" s="7" t="s">
        <v>58</v>
      </c>
      <c r="M18" s="622">
        <v>0.113</v>
      </c>
      <c r="N18" s="213">
        <v>0.16400000000000001</v>
      </c>
      <c r="O18" s="213">
        <v>5.6000000000000001E-2</v>
      </c>
      <c r="P18" s="621">
        <v>8.4000000000000005E-2</v>
      </c>
      <c r="Q18" s="8"/>
      <c r="U18" s="411"/>
      <c r="V18" s="411"/>
      <c r="W18" s="411"/>
      <c r="X18" s="411"/>
      <c r="Y18" s="411"/>
      <c r="Z18" s="411"/>
      <c r="AA18" s="411"/>
      <c r="AB18" s="411"/>
    </row>
    <row r="19" spans="1:30" ht="16.5" thickTop="1" thickBot="1" x14ac:dyDescent="0.3">
      <c r="A19" s="596"/>
      <c r="B19" s="128" t="s">
        <v>80</v>
      </c>
      <c r="C19" s="613">
        <v>122.5</v>
      </c>
      <c r="D19" s="595">
        <f>$C$19</f>
        <v>122.5</v>
      </c>
      <c r="E19" s="504">
        <f>$C$19</f>
        <v>122.5</v>
      </c>
      <c r="F19" s="8"/>
      <c r="G19" s="411"/>
      <c r="H19" s="411"/>
      <c r="I19" s="411"/>
      <c r="J19" s="411"/>
      <c r="K19" s="6"/>
      <c r="L19" s="7" t="s">
        <v>59</v>
      </c>
      <c r="M19" s="623">
        <v>0.156</v>
      </c>
      <c r="N19" s="624">
        <v>0.255</v>
      </c>
      <c r="O19" s="624">
        <v>8.7999999999999995E-2</v>
      </c>
      <c r="P19" s="625">
        <v>0.13100000000000001</v>
      </c>
      <c r="Q19" s="8"/>
      <c r="U19" s="411"/>
      <c r="V19" s="411"/>
      <c r="W19" s="411"/>
      <c r="X19" s="411"/>
      <c r="Y19" s="411"/>
      <c r="Z19" s="411"/>
      <c r="AA19" s="411"/>
      <c r="AB19" s="411"/>
      <c r="AC19" s="411"/>
      <c r="AD19" s="411"/>
    </row>
    <row r="20" spans="1:30" ht="15.75" thickTop="1" x14ac:dyDescent="0.25">
      <c r="B20" s="128" t="s">
        <v>81</v>
      </c>
      <c r="C20" s="569">
        <f>C19</f>
        <v>122.5</v>
      </c>
      <c r="D20" s="505">
        <f>$C$20</f>
        <v>122.5</v>
      </c>
      <c r="E20" s="506">
        <f>$C$20</f>
        <v>122.5</v>
      </c>
      <c r="F20" s="8"/>
      <c r="G20" s="411"/>
      <c r="H20" s="411"/>
      <c r="I20" s="411"/>
      <c r="J20" s="411"/>
      <c r="K20" s="129"/>
      <c r="L20" s="130"/>
      <c r="M20" s="572" t="s">
        <v>339</v>
      </c>
      <c r="N20" s="628"/>
      <c r="O20" s="628"/>
      <c r="P20" s="628"/>
      <c r="Q20" s="9"/>
      <c r="U20" s="411"/>
      <c r="V20" s="411"/>
      <c r="W20" s="411"/>
      <c r="X20" s="411"/>
      <c r="Y20" s="411"/>
      <c r="Z20" s="411"/>
      <c r="AA20" s="411"/>
      <c r="AB20" s="411"/>
      <c r="AC20" s="411"/>
      <c r="AD20" s="411"/>
    </row>
    <row r="21" spans="1:30" x14ac:dyDescent="0.25">
      <c r="B21" s="128" t="s">
        <v>82</v>
      </c>
      <c r="C21" s="614">
        <v>245.03</v>
      </c>
      <c r="D21" s="505">
        <f>$C$21</f>
        <v>245.03</v>
      </c>
      <c r="E21" s="506">
        <f>$C$21</f>
        <v>245.03</v>
      </c>
      <c r="F21" s="8"/>
      <c r="G21" s="411"/>
      <c r="H21" s="411"/>
      <c r="I21" s="411"/>
      <c r="J21" s="411"/>
      <c r="M21" s="411"/>
      <c r="U21" s="411"/>
      <c r="V21" s="411"/>
      <c r="W21" s="411"/>
      <c r="X21" s="411"/>
      <c r="Y21" s="411"/>
      <c r="Z21" s="411"/>
      <c r="AA21" s="411"/>
      <c r="AB21" s="411"/>
      <c r="AC21" s="411"/>
      <c r="AD21" s="411"/>
    </row>
    <row r="22" spans="1:30" ht="15.75" thickBot="1" x14ac:dyDescent="0.3">
      <c r="B22" s="128" t="s">
        <v>11</v>
      </c>
      <c r="C22" s="568">
        <f>C21</f>
        <v>245.03</v>
      </c>
      <c r="D22" s="507">
        <f>$C$22</f>
        <v>245.03</v>
      </c>
      <c r="E22" s="508">
        <f>$C$22</f>
        <v>245.03</v>
      </c>
      <c r="F22" s="8"/>
      <c r="G22" s="411"/>
      <c r="H22" s="411"/>
      <c r="I22" s="411"/>
      <c r="J22" s="411"/>
      <c r="K22" s="585"/>
      <c r="N22" s="567"/>
      <c r="P22" s="411"/>
      <c r="Q22" s="570"/>
      <c r="U22" s="411"/>
      <c r="V22" s="411"/>
      <c r="W22" s="411"/>
      <c r="X22" s="411"/>
      <c r="Y22" s="411"/>
      <c r="Z22" s="411"/>
      <c r="AA22" s="411"/>
      <c r="AB22" s="411"/>
      <c r="AC22" s="411"/>
      <c r="AD22" s="411"/>
    </row>
    <row r="23" spans="1:30" ht="15.75" thickTop="1" x14ac:dyDescent="0.25">
      <c r="B23" s="129"/>
      <c r="C23" s="130"/>
      <c r="D23" s="130"/>
      <c r="E23" s="130"/>
      <c r="F23" s="9"/>
      <c r="I23" s="411"/>
      <c r="Z23" s="411"/>
      <c r="AA23" s="411"/>
      <c r="AB23" s="411"/>
      <c r="AC23" s="411"/>
      <c r="AD23" s="411"/>
    </row>
    <row r="24" spans="1:30" ht="15.75" hidden="1" thickBot="1" x14ac:dyDescent="0.3">
      <c r="Z24" s="411"/>
      <c r="AA24" s="411"/>
      <c r="AB24" s="411"/>
      <c r="AC24" s="411"/>
      <c r="AD24" s="411"/>
    </row>
    <row r="25" spans="1:30" ht="15.75" hidden="1" thickTop="1" x14ac:dyDescent="0.25">
      <c r="B25" s="266" t="s">
        <v>327</v>
      </c>
      <c r="C25" s="244"/>
      <c r="D25" s="244"/>
      <c r="E25" s="244"/>
      <c r="F25" s="244"/>
      <c r="G25" s="244"/>
      <c r="H25" s="244"/>
      <c r="I25" s="244"/>
      <c r="J25" s="244"/>
      <c r="K25" s="244"/>
      <c r="L25" s="244"/>
      <c r="M25" s="244"/>
      <c r="N25" s="244"/>
      <c r="O25" s="244"/>
      <c r="P25" s="244"/>
      <c r="Q25" s="244"/>
      <c r="R25" s="244"/>
      <c r="S25" s="244"/>
      <c r="T25" s="244"/>
      <c r="U25" s="244"/>
      <c r="V25" s="244"/>
      <c r="W25" s="244"/>
      <c r="X25" s="247"/>
      <c r="Z25" s="411"/>
      <c r="AA25" s="411"/>
      <c r="AB25" s="411"/>
      <c r="AC25" s="411"/>
      <c r="AD25" s="411"/>
    </row>
    <row r="26" spans="1:30" ht="15.75" hidden="1" thickBot="1" x14ac:dyDescent="0.3">
      <c r="B26" s="249" t="s">
        <v>124</v>
      </c>
      <c r="C26" s="255"/>
      <c r="D26" s="255"/>
      <c r="E26" s="255"/>
      <c r="F26" s="254"/>
      <c r="G26" s="181" t="s">
        <v>125</v>
      </c>
      <c r="H26" s="255"/>
      <c r="I26" s="255"/>
      <c r="J26" s="255"/>
      <c r="K26" s="181" t="s">
        <v>126</v>
      </c>
      <c r="L26" s="255"/>
      <c r="M26" s="255" t="s">
        <v>131</v>
      </c>
      <c r="N26" s="255"/>
      <c r="O26" s="255"/>
      <c r="P26" s="255"/>
      <c r="Q26" s="254"/>
      <c r="R26" s="181" t="s">
        <v>129</v>
      </c>
      <c r="S26" s="255"/>
      <c r="T26" s="254" t="s">
        <v>131</v>
      </c>
      <c r="U26" s="145"/>
      <c r="V26" s="145"/>
      <c r="W26" s="145"/>
      <c r="X26" s="248"/>
      <c r="Z26" s="411"/>
      <c r="AA26" s="411"/>
      <c r="AB26" s="411"/>
      <c r="AC26" s="411"/>
      <c r="AD26" s="411"/>
    </row>
    <row r="27" spans="1:30" ht="16.5" hidden="1" thickTop="1" thickBot="1" x14ac:dyDescent="0.3">
      <c r="B27" s="250" t="s">
        <v>291</v>
      </c>
      <c r="C27" s="243" t="s">
        <v>21</v>
      </c>
      <c r="D27" s="185"/>
      <c r="E27" s="186"/>
      <c r="F27" s="253"/>
      <c r="G27" s="182" t="s">
        <v>291</v>
      </c>
      <c r="H27" s="257"/>
      <c r="I27" s="257"/>
      <c r="J27" s="257"/>
      <c r="K27" s="182" t="s">
        <v>98</v>
      </c>
      <c r="L27" s="164">
        <f>ROUND(L5*(1+$M27),4)</f>
        <v>5.6800000000000003E-2</v>
      </c>
      <c r="M27" s="146">
        <v>0</v>
      </c>
      <c r="N27" s="257"/>
      <c r="O27" s="257"/>
      <c r="P27" s="257"/>
      <c r="Q27" s="253"/>
      <c r="R27" s="183" t="s">
        <v>84</v>
      </c>
      <c r="S27" s="174">
        <f>ROUND(S7*(1+$T27),4)</f>
        <v>0.56499999999999995</v>
      </c>
      <c r="T27" s="146">
        <v>0</v>
      </c>
      <c r="U27" s="145"/>
      <c r="V27" s="145"/>
      <c r="W27" s="145"/>
      <c r="X27" s="248"/>
      <c r="Z27" s="411"/>
      <c r="AA27" s="411"/>
      <c r="AB27" s="411"/>
      <c r="AC27" s="411"/>
      <c r="AD27" s="411"/>
    </row>
    <row r="28" spans="1:30" ht="16.5" hidden="1" thickTop="1" thickBot="1" x14ac:dyDescent="0.3">
      <c r="B28" s="251"/>
      <c r="C28" s="232" t="s">
        <v>5</v>
      </c>
      <c r="D28" s="233" t="s">
        <v>6</v>
      </c>
      <c r="E28" s="234" t="s">
        <v>7</v>
      </c>
      <c r="F28" s="253" t="s">
        <v>131</v>
      </c>
      <c r="G28" s="182"/>
      <c r="H28" s="259" t="s">
        <v>27</v>
      </c>
      <c r="I28" s="260" t="s">
        <v>28</v>
      </c>
      <c r="J28" s="257" t="s">
        <v>131</v>
      </c>
      <c r="K28" s="182" t="s">
        <v>99</v>
      </c>
      <c r="L28" s="165">
        <f t="shared" ref="L28" si="0">ROUND(L6*(1+$M28),4)</f>
        <v>1.67</v>
      </c>
      <c r="M28" s="146">
        <v>0</v>
      </c>
      <c r="N28" s="257"/>
      <c r="O28" s="257"/>
      <c r="P28" s="257"/>
      <c r="Q28" s="253"/>
      <c r="R28" s="256" t="s">
        <v>135</v>
      </c>
      <c r="S28" s="175">
        <f>ROUND(S6*(1+$T28),4)</f>
        <v>0.59799999999999998</v>
      </c>
      <c r="T28" s="146">
        <v>0</v>
      </c>
      <c r="U28" s="145"/>
      <c r="V28" s="145"/>
      <c r="W28" s="145"/>
      <c r="X28" s="248"/>
      <c r="Z28" s="411"/>
      <c r="AA28" s="411"/>
      <c r="AB28" s="411"/>
      <c r="AC28" s="411"/>
      <c r="AD28" s="411"/>
    </row>
    <row r="29" spans="1:30" ht="16.5" hidden="1" thickTop="1" thickBot="1" x14ac:dyDescent="0.3">
      <c r="B29" s="252" t="s">
        <v>80</v>
      </c>
      <c r="C29" s="154">
        <f>ROUND(C7*(1+$F$29),2)</f>
        <v>48.83</v>
      </c>
      <c r="D29" s="155">
        <f>ROUND(D7*(1+$F$29),2)</f>
        <v>67.81</v>
      </c>
      <c r="E29" s="156">
        <f>ROUND(E7*(1+$F$29),2)</f>
        <v>82.05</v>
      </c>
      <c r="F29" s="147">
        <v>0</v>
      </c>
      <c r="G29" s="256" t="s">
        <v>12</v>
      </c>
      <c r="H29" s="154">
        <f>ROUND(H7*(1+$J$29),2)</f>
        <v>11.22</v>
      </c>
      <c r="I29" s="156">
        <f>ROUND(I7*(1+$J$29),2)</f>
        <v>14.92</v>
      </c>
      <c r="J29" s="147">
        <v>0</v>
      </c>
      <c r="K29" s="182" t="s">
        <v>127</v>
      </c>
      <c r="L29" s="166">
        <f>ROUND(L7*(1+$M29),2)</f>
        <v>0.59</v>
      </c>
      <c r="M29" s="146">
        <v>0</v>
      </c>
      <c r="N29" s="257"/>
      <c r="O29" s="257"/>
      <c r="P29" s="257"/>
      <c r="Q29" s="253"/>
      <c r="R29" s="183" t="s">
        <v>85</v>
      </c>
      <c r="S29" s="175">
        <f>ROUND(S5*(1+$T29),4)</f>
        <v>0.27700000000000002</v>
      </c>
      <c r="T29" s="146">
        <v>0</v>
      </c>
      <c r="U29" s="145"/>
      <c r="V29" s="145"/>
      <c r="W29" s="145"/>
      <c r="X29" s="248"/>
      <c r="Z29" s="411"/>
      <c r="AA29" s="411"/>
      <c r="AB29" s="411"/>
      <c r="AC29" s="411"/>
      <c r="AD29" s="411"/>
    </row>
    <row r="30" spans="1:30" ht="16.5" hidden="1" thickTop="1" thickBot="1" x14ac:dyDescent="0.3">
      <c r="B30" s="252" t="s">
        <v>81</v>
      </c>
      <c r="C30" s="149">
        <f t="shared" ref="C30:E30" si="1">ROUND(C8*(1+$F$29),2)</f>
        <v>78.12</v>
      </c>
      <c r="D30" s="148">
        <f t="shared" si="1"/>
        <v>108.5</v>
      </c>
      <c r="E30" s="150">
        <f t="shared" si="1"/>
        <v>131.29</v>
      </c>
      <c r="F30" s="253"/>
      <c r="G30" s="183" t="s">
        <v>13</v>
      </c>
      <c r="H30" s="149">
        <f t="shared" ref="H30:I32" si="2">ROUND(H8*(1+$J$29),2)</f>
        <v>21.31</v>
      </c>
      <c r="I30" s="150">
        <f t="shared" si="2"/>
        <v>28.34</v>
      </c>
      <c r="J30" s="257"/>
      <c r="K30" s="182" t="s">
        <v>128</v>
      </c>
      <c r="L30" s="257"/>
      <c r="M30" s="163">
        <v>0</v>
      </c>
      <c r="N30" s="257"/>
      <c r="O30" s="257"/>
      <c r="P30" s="257"/>
      <c r="Q30" s="253"/>
      <c r="R30" s="183" t="s">
        <v>305</v>
      </c>
      <c r="S30" s="176">
        <v>0</v>
      </c>
      <c r="T30" s="146">
        <v>0</v>
      </c>
      <c r="U30" s="145"/>
      <c r="V30" s="145"/>
      <c r="W30" s="145"/>
      <c r="X30" s="248"/>
    </row>
    <row r="31" spans="1:30" ht="15.75" hidden="1" thickTop="1" x14ac:dyDescent="0.25">
      <c r="B31" s="252" t="s">
        <v>82</v>
      </c>
      <c r="C31" s="149">
        <f t="shared" ref="C31:E31" si="3">ROUND(C9*(1+$F$29),2)</f>
        <v>124.5</v>
      </c>
      <c r="D31" s="148">
        <f t="shared" si="3"/>
        <v>172.92</v>
      </c>
      <c r="E31" s="150">
        <f t="shared" si="3"/>
        <v>209.24</v>
      </c>
      <c r="F31" s="253"/>
      <c r="G31" s="183" t="s">
        <v>14</v>
      </c>
      <c r="H31" s="149">
        <f t="shared" si="2"/>
        <v>29.61</v>
      </c>
      <c r="I31" s="150">
        <f t="shared" si="2"/>
        <v>39.380000000000003</v>
      </c>
      <c r="J31" s="257"/>
      <c r="K31" s="182"/>
      <c r="L31" s="257"/>
      <c r="M31" s="710" t="s">
        <v>41</v>
      </c>
      <c r="N31" s="711"/>
      <c r="O31" s="711" t="s">
        <v>42</v>
      </c>
      <c r="P31" s="712"/>
      <c r="Q31" s="253"/>
      <c r="R31" s="184"/>
      <c r="S31" s="258"/>
      <c r="T31" s="261"/>
      <c r="U31" s="145"/>
      <c r="V31" s="145"/>
      <c r="W31" s="145"/>
      <c r="X31" s="248"/>
    </row>
    <row r="32" spans="1:30" ht="15.75" hidden="1" thickBot="1" x14ac:dyDescent="0.3">
      <c r="B32" s="252" t="s">
        <v>11</v>
      </c>
      <c r="C32" s="151">
        <f t="shared" ref="C32:E32" si="4">ROUND(C10*(1+$F$29),2)</f>
        <v>107.42</v>
      </c>
      <c r="D32" s="152">
        <f t="shared" si="4"/>
        <v>149.19</v>
      </c>
      <c r="E32" s="153">
        <f t="shared" si="4"/>
        <v>180.52</v>
      </c>
      <c r="F32" s="253"/>
      <c r="G32" s="183" t="s">
        <v>11</v>
      </c>
      <c r="H32" s="151">
        <f t="shared" si="2"/>
        <v>24.68</v>
      </c>
      <c r="I32" s="153">
        <f t="shared" si="2"/>
        <v>32.82</v>
      </c>
      <c r="J32" s="257"/>
      <c r="K32" s="182"/>
      <c r="L32" s="257" t="s">
        <v>47</v>
      </c>
      <c r="M32" s="240" t="s">
        <v>44</v>
      </c>
      <c r="N32" s="241" t="s">
        <v>45</v>
      </c>
      <c r="O32" s="241" t="s">
        <v>48</v>
      </c>
      <c r="P32" s="242" t="s">
        <v>49</v>
      </c>
      <c r="Q32" s="253"/>
      <c r="R32" s="145"/>
      <c r="S32" s="145"/>
      <c r="T32" s="145"/>
      <c r="U32" s="145"/>
      <c r="V32" s="145"/>
      <c r="W32" s="145"/>
      <c r="X32" s="248"/>
    </row>
    <row r="33" spans="2:24" ht="15.75" hidden="1" thickTop="1" x14ac:dyDescent="0.25">
      <c r="B33" s="251"/>
      <c r="C33" s="243" t="s">
        <v>15</v>
      </c>
      <c r="D33" s="185"/>
      <c r="E33" s="186"/>
      <c r="F33" s="253"/>
      <c r="G33" s="184"/>
      <c r="H33" s="258"/>
      <c r="I33" s="258"/>
      <c r="J33" s="258"/>
      <c r="K33" s="182"/>
      <c r="L33" s="257" t="s">
        <v>50</v>
      </c>
      <c r="M33" s="203">
        <f>ROUND(M10*(1+$M$30),3)</f>
        <v>8.9999999999999993E-3</v>
      </c>
      <c r="N33" s="204">
        <f t="shared" ref="N33:P33" si="5">ROUND(N10*(1+$M$30),3)</f>
        <v>1.2999999999999999E-2</v>
      </c>
      <c r="O33" s="204">
        <f t="shared" si="5"/>
        <v>5.0000000000000001E-3</v>
      </c>
      <c r="P33" s="205">
        <f t="shared" si="5"/>
        <v>6.0000000000000001E-3</v>
      </c>
      <c r="Q33" s="253"/>
      <c r="R33" s="145"/>
      <c r="S33" s="145"/>
      <c r="T33" s="145"/>
      <c r="U33" s="145"/>
      <c r="V33" s="145"/>
      <c r="W33" s="145"/>
      <c r="X33" s="248"/>
    </row>
    <row r="34" spans="2:24" ht="15.75" hidden="1" thickBot="1" x14ac:dyDescent="0.3">
      <c r="B34" s="251"/>
      <c r="C34" s="232" t="s">
        <v>5</v>
      </c>
      <c r="D34" s="233" t="s">
        <v>6</v>
      </c>
      <c r="E34" s="234" t="s">
        <v>7</v>
      </c>
      <c r="F34" s="253"/>
      <c r="G34" s="145"/>
      <c r="H34" s="145"/>
      <c r="I34" s="145"/>
      <c r="J34" s="145"/>
      <c r="K34" s="182"/>
      <c r="L34" s="257" t="s">
        <v>51</v>
      </c>
      <c r="M34" s="206">
        <f t="shared" ref="M34:P34" si="6">ROUND(M11*(1+$M$30),3)</f>
        <v>8.9999999999999993E-3</v>
      </c>
      <c r="N34" s="207">
        <f t="shared" si="6"/>
        <v>1.2999999999999999E-2</v>
      </c>
      <c r="O34" s="207">
        <f t="shared" si="6"/>
        <v>5.0000000000000001E-3</v>
      </c>
      <c r="P34" s="208">
        <f t="shared" si="6"/>
        <v>6.0000000000000001E-3</v>
      </c>
      <c r="Q34" s="253"/>
      <c r="R34" s="145"/>
      <c r="S34" s="145"/>
      <c r="T34" s="145"/>
      <c r="U34" s="145"/>
      <c r="V34" s="145"/>
      <c r="W34" s="145"/>
      <c r="X34" s="248"/>
    </row>
    <row r="35" spans="2:24" ht="16.5" hidden="1" thickTop="1" thickBot="1" x14ac:dyDescent="0.3">
      <c r="B35" s="252" t="s">
        <v>80</v>
      </c>
      <c r="C35" s="154">
        <f>ROUND(C13*(1+$F$35),2)</f>
        <v>17.5</v>
      </c>
      <c r="D35" s="155">
        <f>ROUND(D13*(1+$F$35),2)</f>
        <v>25.73</v>
      </c>
      <c r="E35" s="156">
        <f>ROUND(E13*(1+$F$35),2)</f>
        <v>31.14</v>
      </c>
      <c r="F35" s="146">
        <v>0</v>
      </c>
      <c r="G35" s="145"/>
      <c r="H35" s="145"/>
      <c r="I35" s="145"/>
      <c r="J35" s="145"/>
      <c r="K35" s="182"/>
      <c r="L35" s="257" t="s">
        <v>52</v>
      </c>
      <c r="M35" s="206">
        <f t="shared" ref="M35:P35" si="7">ROUND(M12*(1+$M$30),3)</f>
        <v>8.9999999999999993E-3</v>
      </c>
      <c r="N35" s="207">
        <f t="shared" si="7"/>
        <v>1.2999999999999999E-2</v>
      </c>
      <c r="O35" s="207">
        <f t="shared" si="7"/>
        <v>5.0000000000000001E-3</v>
      </c>
      <c r="P35" s="208">
        <f t="shared" si="7"/>
        <v>6.0000000000000001E-3</v>
      </c>
      <c r="Q35" s="253"/>
      <c r="R35" s="181"/>
      <c r="S35" s="255"/>
      <c r="T35" s="254"/>
      <c r="U35" s="145"/>
      <c r="V35" s="145"/>
      <c r="W35" s="145"/>
      <c r="X35" s="248"/>
    </row>
    <row r="36" spans="2:24" ht="16.5" hidden="1" thickTop="1" thickBot="1" x14ac:dyDescent="0.3">
      <c r="B36" s="252" t="s">
        <v>81</v>
      </c>
      <c r="C36" s="149">
        <f t="shared" ref="C36:E36" si="8">ROUND(C14*(1+$F$35),2)</f>
        <v>35</v>
      </c>
      <c r="D36" s="148">
        <f t="shared" si="8"/>
        <v>51.46</v>
      </c>
      <c r="E36" s="150">
        <f t="shared" si="8"/>
        <v>62.27</v>
      </c>
      <c r="F36" s="253"/>
      <c r="G36" s="145"/>
      <c r="H36" s="145"/>
      <c r="I36" s="145"/>
      <c r="J36" s="145"/>
      <c r="K36" s="182"/>
      <c r="L36" s="257" t="s">
        <v>53</v>
      </c>
      <c r="M36" s="206">
        <f t="shared" ref="M36:P36" si="9">ROUND(M13*(1+$M$30),3)</f>
        <v>1.2E-2</v>
      </c>
      <c r="N36" s="207">
        <f t="shared" si="9"/>
        <v>1.4999999999999999E-2</v>
      </c>
      <c r="O36" s="207">
        <f t="shared" si="9"/>
        <v>6.0000000000000001E-3</v>
      </c>
      <c r="P36" s="208">
        <f t="shared" si="9"/>
        <v>7.0000000000000001E-3</v>
      </c>
      <c r="Q36" s="253"/>
      <c r="R36" s="262" t="s">
        <v>130</v>
      </c>
      <c r="S36" s="257"/>
      <c r="T36" s="253"/>
      <c r="U36" s="145"/>
      <c r="V36" s="145"/>
      <c r="W36" s="145"/>
      <c r="X36" s="248"/>
    </row>
    <row r="37" spans="2:24" ht="16.5" hidden="1" thickTop="1" thickBot="1" x14ac:dyDescent="0.3">
      <c r="B37" s="252" t="s">
        <v>82</v>
      </c>
      <c r="C37" s="149">
        <f>ROUND(C15*(1+$F$35),2)</f>
        <v>52.49</v>
      </c>
      <c r="D37" s="148">
        <f t="shared" ref="D37:E37" si="10">ROUND(D15*(1+$F$35),2)</f>
        <v>77.2</v>
      </c>
      <c r="E37" s="150">
        <f t="shared" si="10"/>
        <v>93.41</v>
      </c>
      <c r="F37" s="253"/>
      <c r="G37" s="145"/>
      <c r="H37" s="145"/>
      <c r="I37" s="145"/>
      <c r="J37" s="145"/>
      <c r="K37" s="182"/>
      <c r="L37" s="257" t="s">
        <v>54</v>
      </c>
      <c r="M37" s="206">
        <f t="shared" ref="M37:P37" si="11">ROUND(M14*(1+$M$30),3)</f>
        <v>1.7000000000000001E-2</v>
      </c>
      <c r="N37" s="207">
        <f t="shared" si="11"/>
        <v>2.5000000000000001E-2</v>
      </c>
      <c r="O37" s="207">
        <f t="shared" si="11"/>
        <v>8.9999999999999993E-3</v>
      </c>
      <c r="P37" s="208">
        <f t="shared" si="11"/>
        <v>1.2999999999999999E-2</v>
      </c>
      <c r="Q37" s="253"/>
      <c r="R37" s="182"/>
      <c r="S37" s="177">
        <f>ROUND(S15*(1+$T37),4)</f>
        <v>0.36799999999999999</v>
      </c>
      <c r="T37" s="146">
        <v>0</v>
      </c>
      <c r="U37" s="145"/>
      <c r="V37" s="145"/>
      <c r="W37" s="145"/>
      <c r="X37" s="248"/>
    </row>
    <row r="38" spans="2:24" ht="16.5" hidden="1" thickTop="1" thickBot="1" x14ac:dyDescent="0.3">
      <c r="B38" s="252" t="s">
        <v>11</v>
      </c>
      <c r="C38" s="151">
        <f t="shared" ref="C38:E38" si="12">ROUND(C16*(1+$F$35),2)</f>
        <v>38.5</v>
      </c>
      <c r="D38" s="152">
        <f t="shared" si="12"/>
        <v>56.61</v>
      </c>
      <c r="E38" s="153">
        <f t="shared" si="12"/>
        <v>68.5</v>
      </c>
      <c r="F38" s="253"/>
      <c r="G38" s="145"/>
      <c r="H38" s="145"/>
      <c r="I38" s="145"/>
      <c r="J38" s="145"/>
      <c r="K38" s="182"/>
      <c r="L38" s="257" t="s">
        <v>55</v>
      </c>
      <c r="M38" s="206">
        <f t="shared" ref="M38:P38" si="13">ROUND(M15*(1+$M$30),3)</f>
        <v>2.8000000000000001E-2</v>
      </c>
      <c r="N38" s="207">
        <f t="shared" si="13"/>
        <v>0.04</v>
      </c>
      <c r="O38" s="207">
        <f t="shared" si="13"/>
        <v>1.2999999999999999E-2</v>
      </c>
      <c r="P38" s="208">
        <f t="shared" si="13"/>
        <v>1.9E-2</v>
      </c>
      <c r="Q38" s="253"/>
      <c r="R38" s="184"/>
      <c r="S38" s="258"/>
      <c r="T38" s="261"/>
      <c r="U38" s="145"/>
      <c r="V38" s="145"/>
      <c r="W38" s="145"/>
      <c r="X38" s="248"/>
    </row>
    <row r="39" spans="2:24" ht="15.75" hidden="1" thickTop="1" x14ac:dyDescent="0.25">
      <c r="B39" s="251"/>
      <c r="C39" s="243" t="s">
        <v>16</v>
      </c>
      <c r="D39" s="185"/>
      <c r="E39" s="186"/>
      <c r="F39" s="253"/>
      <c r="G39" s="145"/>
      <c r="H39" s="145"/>
      <c r="I39" s="145"/>
      <c r="J39" s="145"/>
      <c r="K39" s="182"/>
      <c r="L39" s="257" t="s">
        <v>56</v>
      </c>
      <c r="M39" s="206">
        <f t="shared" ref="M39:P39" si="14">ROUND(M16*(1+$M$30),3)</f>
        <v>4.2000000000000003E-2</v>
      </c>
      <c r="N39" s="207">
        <f t="shared" si="14"/>
        <v>6.3E-2</v>
      </c>
      <c r="O39" s="207">
        <f t="shared" si="14"/>
        <v>2.4E-2</v>
      </c>
      <c r="P39" s="208">
        <f t="shared" si="14"/>
        <v>2.9000000000000001E-2</v>
      </c>
      <c r="Q39" s="253"/>
      <c r="R39" s="145"/>
      <c r="S39" s="145"/>
      <c r="T39" s="145"/>
      <c r="U39" s="145"/>
      <c r="V39" s="145"/>
      <c r="W39" s="145"/>
      <c r="X39" s="248"/>
    </row>
    <row r="40" spans="2:24" ht="15.75" hidden="1" thickBot="1" x14ac:dyDescent="0.3">
      <c r="B40" s="251"/>
      <c r="C40" s="232" t="s">
        <v>5</v>
      </c>
      <c r="D40" s="233" t="s">
        <v>6</v>
      </c>
      <c r="E40" s="234" t="s">
        <v>7</v>
      </c>
      <c r="F40" s="253"/>
      <c r="G40" s="145"/>
      <c r="H40" s="145"/>
      <c r="I40" s="145"/>
      <c r="J40" s="145"/>
      <c r="K40" s="182"/>
      <c r="L40" s="257" t="s">
        <v>57</v>
      </c>
      <c r="M40" s="206">
        <f t="shared" ref="M40:P40" si="15">ROUND(M17*(1+$M$30),3)</f>
        <v>6.7000000000000004E-2</v>
      </c>
      <c r="N40" s="207">
        <f t="shared" si="15"/>
        <v>0.104</v>
      </c>
      <c r="O40" s="207">
        <f t="shared" si="15"/>
        <v>3.5999999999999997E-2</v>
      </c>
      <c r="P40" s="208">
        <f t="shared" si="15"/>
        <v>5.7000000000000002E-2</v>
      </c>
      <c r="Q40" s="253"/>
      <c r="R40" s="145"/>
      <c r="S40" s="145"/>
      <c r="T40" s="145"/>
      <c r="U40" s="145"/>
      <c r="V40" s="145"/>
      <c r="W40" s="145"/>
      <c r="X40" s="248"/>
    </row>
    <row r="41" spans="2:24" ht="16.5" hidden="1" thickTop="1" thickBot="1" x14ac:dyDescent="0.3">
      <c r="B41" s="252" t="s">
        <v>80</v>
      </c>
      <c r="C41" s="154">
        <f>ROUND(C19*(1+$F$41),2)</f>
        <v>122.5</v>
      </c>
      <c r="D41" s="155">
        <f>ROUND(D19*(1+$F$41),2)</f>
        <v>122.5</v>
      </c>
      <c r="E41" s="156">
        <f>ROUND(E19*(1+$F$41),2)</f>
        <v>122.5</v>
      </c>
      <c r="F41" s="146">
        <v>0</v>
      </c>
      <c r="G41" s="145"/>
      <c r="H41" s="145"/>
      <c r="I41" s="145"/>
      <c r="J41" s="145"/>
      <c r="K41" s="182"/>
      <c r="L41" s="257" t="s">
        <v>58</v>
      </c>
      <c r="M41" s="206">
        <f t="shared" ref="M41:P41" si="16">ROUND(M18*(1+$M$30),3)</f>
        <v>0.113</v>
      </c>
      <c r="N41" s="207">
        <f t="shared" si="16"/>
        <v>0.16400000000000001</v>
      </c>
      <c r="O41" s="207">
        <f t="shared" si="16"/>
        <v>5.6000000000000001E-2</v>
      </c>
      <c r="P41" s="208">
        <f t="shared" si="16"/>
        <v>8.4000000000000005E-2</v>
      </c>
      <c r="Q41" s="253"/>
      <c r="R41" s="145"/>
      <c r="S41" s="145"/>
      <c r="T41" s="145"/>
      <c r="U41" s="145"/>
      <c r="V41" s="145"/>
      <c r="W41" s="145"/>
      <c r="X41" s="248"/>
    </row>
    <row r="42" spans="2:24" ht="16.5" hidden="1" thickTop="1" thickBot="1" x14ac:dyDescent="0.3">
      <c r="B42" s="252" t="s">
        <v>81</v>
      </c>
      <c r="C42" s="149">
        <f t="shared" ref="C42:E42" si="17">ROUND(C20*(1+$F$41),2)</f>
        <v>122.5</v>
      </c>
      <c r="D42" s="148">
        <f t="shared" si="17"/>
        <v>122.5</v>
      </c>
      <c r="E42" s="150">
        <f t="shared" si="17"/>
        <v>122.5</v>
      </c>
      <c r="F42" s="253"/>
      <c r="G42" s="145"/>
      <c r="H42" s="145"/>
      <c r="I42" s="145"/>
      <c r="J42" s="145"/>
      <c r="K42" s="182"/>
      <c r="L42" s="257" t="s">
        <v>59</v>
      </c>
      <c r="M42" s="209">
        <f t="shared" ref="M42:P42" si="18">ROUND(M19*(1+$M$30),3)</f>
        <v>0.156</v>
      </c>
      <c r="N42" s="210">
        <f t="shared" si="18"/>
        <v>0.255</v>
      </c>
      <c r="O42" s="210">
        <f t="shared" si="18"/>
        <v>8.7999999999999995E-2</v>
      </c>
      <c r="P42" s="211">
        <f t="shared" si="18"/>
        <v>0.13100000000000001</v>
      </c>
      <c r="Q42" s="253"/>
      <c r="R42" s="145"/>
      <c r="S42" s="145"/>
      <c r="T42" s="145"/>
      <c r="U42" s="145"/>
      <c r="V42" s="145"/>
      <c r="W42" s="145"/>
      <c r="X42" s="248"/>
    </row>
    <row r="43" spans="2:24" ht="15.75" hidden="1" thickTop="1" x14ac:dyDescent="0.25">
      <c r="B43" s="252" t="s">
        <v>82</v>
      </c>
      <c r="C43" s="149">
        <f t="shared" ref="C43:E43" si="19">ROUND(C21*(1+$F$41),2)</f>
        <v>245.03</v>
      </c>
      <c r="D43" s="148">
        <f t="shared" si="19"/>
        <v>245.03</v>
      </c>
      <c r="E43" s="150">
        <f t="shared" si="19"/>
        <v>245.03</v>
      </c>
      <c r="F43" s="253"/>
      <c r="G43" s="145"/>
      <c r="H43" s="145"/>
      <c r="I43" s="145"/>
      <c r="J43" s="145"/>
      <c r="K43" s="184"/>
      <c r="L43" s="258"/>
      <c r="M43" s="258"/>
      <c r="N43" s="258"/>
      <c r="O43" s="258"/>
      <c r="P43" s="258"/>
      <c r="Q43" s="261"/>
      <c r="R43" s="145"/>
      <c r="S43" s="145"/>
      <c r="T43" s="145"/>
      <c r="U43" s="145"/>
      <c r="V43" s="145"/>
      <c r="W43" s="145"/>
      <c r="X43" s="248"/>
    </row>
    <row r="44" spans="2:24" ht="15.75" hidden="1" thickBot="1" x14ac:dyDescent="0.3">
      <c r="B44" s="252" t="s">
        <v>11</v>
      </c>
      <c r="C44" s="151">
        <f t="shared" ref="C44:E44" si="20">ROUND(C22*(1+$F$41),2)</f>
        <v>245.03</v>
      </c>
      <c r="D44" s="152">
        <f t="shared" si="20"/>
        <v>245.03</v>
      </c>
      <c r="E44" s="153">
        <f t="shared" si="20"/>
        <v>245.03</v>
      </c>
      <c r="F44" s="253"/>
      <c r="G44" s="145"/>
      <c r="H44" s="145"/>
      <c r="I44" s="145"/>
      <c r="J44" s="145"/>
      <c r="K44" s="145"/>
      <c r="L44" s="145"/>
      <c r="M44" s="145"/>
      <c r="N44" s="145"/>
      <c r="O44" s="145"/>
      <c r="P44" s="145"/>
      <c r="Q44" s="145"/>
      <c r="R44" s="145"/>
      <c r="S44" s="145"/>
      <c r="T44" s="145"/>
      <c r="U44" s="145"/>
      <c r="V44" s="145"/>
      <c r="W44" s="145"/>
      <c r="X44" s="248"/>
    </row>
    <row r="45" spans="2:24" ht="16.5" hidden="1" thickTop="1" thickBot="1" x14ac:dyDescent="0.3">
      <c r="B45" s="263"/>
      <c r="C45" s="264"/>
      <c r="D45" s="264"/>
      <c r="E45" s="264"/>
      <c r="F45" s="265"/>
      <c r="G45" s="245"/>
      <c r="H45" s="245"/>
      <c r="I45" s="245"/>
      <c r="J45" s="245"/>
      <c r="K45" s="245"/>
      <c r="L45" s="245"/>
      <c r="M45" s="245"/>
      <c r="N45" s="245"/>
      <c r="O45" s="245"/>
      <c r="P45" s="245"/>
      <c r="Q45" s="245"/>
      <c r="R45" s="245"/>
      <c r="S45" s="245"/>
      <c r="T45" s="245"/>
      <c r="U45" s="245"/>
      <c r="V45" s="245"/>
      <c r="W45" s="245"/>
      <c r="X45" s="246"/>
    </row>
    <row r="46" spans="2:24" ht="16.5" hidden="1" thickTop="1" thickBot="1" x14ac:dyDescent="0.3">
      <c r="B46" s="6" t="s">
        <v>132</v>
      </c>
      <c r="C46" s="7"/>
      <c r="D46" s="7"/>
      <c r="E46" s="7"/>
      <c r="F46" s="8"/>
      <c r="G46" s="6" t="s">
        <v>133</v>
      </c>
      <c r="H46" s="7"/>
      <c r="I46" s="7"/>
      <c r="J46" s="7"/>
      <c r="K46" s="6" t="s">
        <v>126</v>
      </c>
      <c r="L46" s="7"/>
      <c r="M46" s="7" t="s">
        <v>131</v>
      </c>
      <c r="N46" s="7"/>
      <c r="O46" s="7"/>
      <c r="P46" s="7"/>
      <c r="Q46" s="8"/>
      <c r="R46" s="6" t="s">
        <v>129</v>
      </c>
      <c r="S46" s="7"/>
      <c r="T46" s="8" t="s">
        <v>131</v>
      </c>
    </row>
    <row r="47" spans="2:24" ht="16.5" hidden="1" thickTop="1" thickBot="1" x14ac:dyDescent="0.3">
      <c r="B47" s="127" t="s">
        <v>291</v>
      </c>
      <c r="C47" s="243" t="s">
        <v>21</v>
      </c>
      <c r="D47" s="185"/>
      <c r="E47" s="186"/>
      <c r="F47" s="8"/>
      <c r="G47" s="6" t="s">
        <v>291</v>
      </c>
      <c r="H47" s="7"/>
      <c r="I47" s="7"/>
      <c r="J47" s="7"/>
      <c r="K47" s="6" t="s">
        <v>98</v>
      </c>
      <c r="L47" s="164">
        <f>L27</f>
        <v>5.6800000000000003E-2</v>
      </c>
      <c r="M47" s="157">
        <f>(ROUND(L47/L5,3))-1</f>
        <v>0</v>
      </c>
      <c r="N47" s="178" t="str">
        <f>IF(M47=M27,"Ok","Attention taux")</f>
        <v>Ok</v>
      </c>
      <c r="O47" s="7"/>
      <c r="P47" s="7"/>
      <c r="Q47" s="8"/>
      <c r="R47" s="128" t="s">
        <v>84</v>
      </c>
      <c r="S47" s="174">
        <v>0.81699999999999995</v>
      </c>
      <c r="T47" s="146">
        <v>0</v>
      </c>
      <c r="U47" s="178" t="str">
        <f>IF(T47=T27,"Ok","Attention taux")</f>
        <v>Ok</v>
      </c>
    </row>
    <row r="48" spans="2:24" ht="16.5" hidden="1" thickTop="1" thickBot="1" x14ac:dyDescent="0.3">
      <c r="B48" s="6"/>
      <c r="C48" s="232" t="s">
        <v>5</v>
      </c>
      <c r="D48" s="233" t="s">
        <v>6</v>
      </c>
      <c r="E48" s="234" t="s">
        <v>7</v>
      </c>
      <c r="F48" s="8" t="s">
        <v>131</v>
      </c>
      <c r="G48" s="6"/>
      <c r="H48" s="235" t="s">
        <v>27</v>
      </c>
      <c r="I48" s="236" t="s">
        <v>28</v>
      </c>
      <c r="J48" s="132" t="s">
        <v>131</v>
      </c>
      <c r="K48" s="6" t="s">
        <v>99</v>
      </c>
      <c r="L48" s="165">
        <f t="shared" ref="L48:L49" si="21">L28</f>
        <v>1.67</v>
      </c>
      <c r="M48" s="157">
        <f t="shared" ref="M48" si="22">(ROUND(L48/L6,3))-1</f>
        <v>0</v>
      </c>
      <c r="N48" s="178" t="str">
        <f t="shared" ref="N48:N49" si="23">IF(M48=M28,"Ok","Attention taux")</f>
        <v>Ok</v>
      </c>
      <c r="O48" s="7"/>
      <c r="P48" s="7"/>
      <c r="Q48" s="8"/>
      <c r="R48" s="128" t="s">
        <v>109</v>
      </c>
      <c r="S48" s="175">
        <v>0.33</v>
      </c>
      <c r="T48" s="146">
        <v>0</v>
      </c>
      <c r="U48" s="178" t="str">
        <f>IF(T48=D111,"Ok","Attention taux")</f>
        <v>Ok</v>
      </c>
    </row>
    <row r="49" spans="2:21" ht="16.5" hidden="1" thickTop="1" thickBot="1" x14ac:dyDescent="0.3">
      <c r="B49" s="128" t="s">
        <v>80</v>
      </c>
      <c r="C49" s="154">
        <f t="shared" ref="C49:E49" si="24">C29-C7</f>
        <v>0</v>
      </c>
      <c r="D49" s="155">
        <f t="shared" si="24"/>
        <v>0</v>
      </c>
      <c r="E49" s="156">
        <f t="shared" si="24"/>
        <v>0</v>
      </c>
      <c r="F49" s="157">
        <f>ROUND(C49/C7,3)</f>
        <v>0</v>
      </c>
      <c r="G49" s="144" t="s">
        <v>12</v>
      </c>
      <c r="H49" s="154">
        <f>H29-H7</f>
        <v>0</v>
      </c>
      <c r="I49" s="156">
        <f t="shared" ref="I49:I52" si="25">I29-I7</f>
        <v>0</v>
      </c>
      <c r="J49" s="158">
        <f>ROUND(H49/H7,3)</f>
        <v>0</v>
      </c>
      <c r="K49" s="6" t="s">
        <v>127</v>
      </c>
      <c r="L49" s="166">
        <f t="shared" si="21"/>
        <v>0.59</v>
      </c>
      <c r="M49" s="157">
        <f>(ROUND(L49/L7,2))-1</f>
        <v>0</v>
      </c>
      <c r="N49" s="178" t="str">
        <f t="shared" si="23"/>
        <v>Ok</v>
      </c>
      <c r="O49" s="7"/>
      <c r="P49" s="7"/>
      <c r="Q49" s="8"/>
      <c r="R49" s="10" t="s">
        <v>135</v>
      </c>
      <c r="S49" s="175">
        <v>0.378</v>
      </c>
      <c r="T49" s="146">
        <v>0</v>
      </c>
      <c r="U49" s="178" t="str">
        <f>IF(T49=T28,"Ok","Attention taux")</f>
        <v>Ok</v>
      </c>
    </row>
    <row r="50" spans="2:21" ht="16.5" hidden="1" thickTop="1" thickBot="1" x14ac:dyDescent="0.3">
      <c r="B50" s="128" t="s">
        <v>81</v>
      </c>
      <c r="C50" s="149">
        <f t="shared" ref="C50:E50" si="26">C30-C8</f>
        <v>0</v>
      </c>
      <c r="D50" s="148">
        <f t="shared" si="26"/>
        <v>0</v>
      </c>
      <c r="E50" s="150">
        <f t="shared" si="26"/>
        <v>0</v>
      </c>
      <c r="F50" s="159" t="str">
        <f>IF(F49=F29,"Ok","Attention taux")</f>
        <v>Ok</v>
      </c>
      <c r="G50" s="144" t="s">
        <v>13</v>
      </c>
      <c r="H50" s="149">
        <f t="shared" ref="H50" si="27">H30-H8</f>
        <v>0</v>
      </c>
      <c r="I50" s="150">
        <f t="shared" si="25"/>
        <v>0</v>
      </c>
      <c r="J50" s="159" t="str">
        <f>IF(J49=J29,"Ok","Attention taux")</f>
        <v>Ok</v>
      </c>
      <c r="K50" s="6" t="s">
        <v>128</v>
      </c>
      <c r="L50" s="7"/>
      <c r="M50" s="179">
        <f>(M33-M10)</f>
        <v>0</v>
      </c>
      <c r="N50" s="178" t="str">
        <f>IF(M50=M30,"Ok","Attention taux")</f>
        <v>Ok</v>
      </c>
      <c r="Q50" s="8"/>
      <c r="R50" s="128" t="s">
        <v>85</v>
      </c>
      <c r="S50" s="176">
        <v>0.63500000000000001</v>
      </c>
      <c r="T50" s="146">
        <v>0</v>
      </c>
      <c r="U50" s="178" t="str">
        <f>IF(T50=T29,"Ok","Attention taux")</f>
        <v>Ok</v>
      </c>
    </row>
    <row r="51" spans="2:21" ht="15.75" hidden="1" thickTop="1" x14ac:dyDescent="0.25">
      <c r="B51" s="128" t="s">
        <v>82</v>
      </c>
      <c r="C51" s="149">
        <f t="shared" ref="C51:E51" si="28">C31-C9</f>
        <v>0</v>
      </c>
      <c r="D51" s="148">
        <f t="shared" si="28"/>
        <v>0</v>
      </c>
      <c r="E51" s="150">
        <f t="shared" si="28"/>
        <v>0</v>
      </c>
      <c r="F51" s="8"/>
      <c r="G51" s="128" t="s">
        <v>14</v>
      </c>
      <c r="H51" s="149">
        <f t="shared" ref="H51" si="29">H31-H9</f>
        <v>0</v>
      </c>
      <c r="I51" s="150">
        <f t="shared" si="25"/>
        <v>0</v>
      </c>
      <c r="J51" s="7"/>
      <c r="K51" s="6"/>
      <c r="L51" s="7"/>
      <c r="M51" s="716" t="s">
        <v>41</v>
      </c>
      <c r="N51" s="717"/>
      <c r="O51" s="718" t="s">
        <v>42</v>
      </c>
      <c r="P51" s="719"/>
      <c r="Q51" s="8"/>
      <c r="R51" s="129"/>
      <c r="S51" s="130"/>
      <c r="T51" s="9"/>
    </row>
    <row r="52" spans="2:21" ht="15.75" hidden="1" thickBot="1" x14ac:dyDescent="0.3">
      <c r="B52" s="128" t="s">
        <v>11</v>
      </c>
      <c r="C52" s="151">
        <f t="shared" ref="C52:E52" si="30">C32-C10</f>
        <v>0</v>
      </c>
      <c r="D52" s="152">
        <f t="shared" si="30"/>
        <v>0</v>
      </c>
      <c r="E52" s="153">
        <f t="shared" si="30"/>
        <v>0</v>
      </c>
      <c r="F52" s="8"/>
      <c r="G52" s="128" t="s">
        <v>11</v>
      </c>
      <c r="H52" s="151">
        <f t="shared" ref="H52" si="31">H32-H10</f>
        <v>0</v>
      </c>
      <c r="I52" s="153">
        <f t="shared" si="25"/>
        <v>0</v>
      </c>
      <c r="J52" s="7"/>
      <c r="K52" s="6"/>
      <c r="L52" s="7" t="s">
        <v>47</v>
      </c>
      <c r="M52" s="240" t="s">
        <v>44</v>
      </c>
      <c r="N52" s="241" t="s">
        <v>45</v>
      </c>
      <c r="O52" s="241" t="s">
        <v>48</v>
      </c>
      <c r="P52" s="242" t="s">
        <v>49</v>
      </c>
      <c r="Q52" s="8"/>
    </row>
    <row r="53" spans="2:21" ht="15.75" hidden="1" thickTop="1" x14ac:dyDescent="0.25">
      <c r="B53" s="6"/>
      <c r="C53" s="243" t="s">
        <v>15</v>
      </c>
      <c r="D53" s="185"/>
      <c r="E53" s="186"/>
      <c r="F53" s="8"/>
      <c r="G53" s="129"/>
      <c r="H53" s="130"/>
      <c r="I53" s="130"/>
      <c r="J53" s="130"/>
      <c r="K53" s="6"/>
      <c r="L53" s="7" t="s">
        <v>50</v>
      </c>
      <c r="M53" s="203">
        <f>M33-M10</f>
        <v>0</v>
      </c>
      <c r="N53" s="204">
        <f t="shared" ref="N53:P53" si="32">N33-N10</f>
        <v>0</v>
      </c>
      <c r="O53" s="204">
        <f t="shared" si="32"/>
        <v>0</v>
      </c>
      <c r="P53" s="205">
        <f t="shared" si="32"/>
        <v>0</v>
      </c>
      <c r="Q53" s="8"/>
    </row>
    <row r="54" spans="2:21" ht="15.75" hidden="1" thickBot="1" x14ac:dyDescent="0.3">
      <c r="B54" s="6"/>
      <c r="C54" s="232" t="s">
        <v>5</v>
      </c>
      <c r="D54" s="233" t="s">
        <v>6</v>
      </c>
      <c r="E54" s="234" t="s">
        <v>7</v>
      </c>
      <c r="F54" s="8"/>
      <c r="K54" s="6"/>
      <c r="L54" s="7" t="s">
        <v>51</v>
      </c>
      <c r="M54" s="206">
        <f t="shared" ref="M54:P54" si="33">M34-M11</f>
        <v>0</v>
      </c>
      <c r="N54" s="207">
        <f t="shared" si="33"/>
        <v>0</v>
      </c>
      <c r="O54" s="207">
        <f t="shared" si="33"/>
        <v>0</v>
      </c>
      <c r="P54" s="208">
        <f t="shared" si="33"/>
        <v>0</v>
      </c>
      <c r="Q54" s="8"/>
    </row>
    <row r="55" spans="2:21" ht="16.5" hidden="1" thickTop="1" thickBot="1" x14ac:dyDescent="0.3">
      <c r="B55" s="128" t="s">
        <v>80</v>
      </c>
      <c r="C55" s="154">
        <f>C35-C13</f>
        <v>0</v>
      </c>
      <c r="D55" s="155">
        <f t="shared" ref="D55:E55" si="34">D35-D13</f>
        <v>0</v>
      </c>
      <c r="E55" s="156">
        <f t="shared" si="34"/>
        <v>0</v>
      </c>
      <c r="F55" s="157">
        <f>ROUND(C55/C13,3)</f>
        <v>0</v>
      </c>
      <c r="K55" s="6"/>
      <c r="L55" s="7" t="s">
        <v>52</v>
      </c>
      <c r="M55" s="206">
        <f t="shared" ref="M55:P55" si="35">M35-M12</f>
        <v>0</v>
      </c>
      <c r="N55" s="207">
        <f t="shared" si="35"/>
        <v>0</v>
      </c>
      <c r="O55" s="207">
        <f t="shared" si="35"/>
        <v>0</v>
      </c>
      <c r="P55" s="208">
        <f t="shared" si="35"/>
        <v>0</v>
      </c>
      <c r="Q55" s="8"/>
      <c r="R55" s="3"/>
      <c r="S55" s="4"/>
      <c r="T55" s="5"/>
    </row>
    <row r="56" spans="2:21" ht="16.5" hidden="1" thickTop="1" thickBot="1" x14ac:dyDescent="0.3">
      <c r="B56" s="128" t="s">
        <v>81</v>
      </c>
      <c r="C56" s="149">
        <f t="shared" ref="C56:E56" si="36">C36-C14</f>
        <v>0</v>
      </c>
      <c r="D56" s="148">
        <f t="shared" si="36"/>
        <v>0</v>
      </c>
      <c r="E56" s="150">
        <f t="shared" si="36"/>
        <v>0</v>
      </c>
      <c r="F56" s="159" t="str">
        <f>IF(F55=F35,"Ok","Attention taux")</f>
        <v>Ok</v>
      </c>
      <c r="K56" s="6"/>
      <c r="L56" s="7" t="s">
        <v>53</v>
      </c>
      <c r="M56" s="206">
        <f t="shared" ref="M56:P56" si="37">M36-M13</f>
        <v>0</v>
      </c>
      <c r="N56" s="207">
        <f t="shared" si="37"/>
        <v>0</v>
      </c>
      <c r="O56" s="207">
        <f t="shared" si="37"/>
        <v>0</v>
      </c>
      <c r="P56" s="208">
        <f t="shared" si="37"/>
        <v>0</v>
      </c>
      <c r="Q56" s="8"/>
      <c r="R56" s="131" t="s">
        <v>130</v>
      </c>
      <c r="S56" s="7"/>
      <c r="T56" s="8"/>
    </row>
    <row r="57" spans="2:21" ht="16.5" hidden="1" thickTop="1" thickBot="1" x14ac:dyDescent="0.3">
      <c r="B57" s="128" t="s">
        <v>82</v>
      </c>
      <c r="C57" s="149">
        <f t="shared" ref="C57:E57" si="38">C37-C15</f>
        <v>0</v>
      </c>
      <c r="D57" s="148">
        <f t="shared" si="38"/>
        <v>0</v>
      </c>
      <c r="E57" s="150">
        <f t="shared" si="38"/>
        <v>0</v>
      </c>
      <c r="F57" s="8"/>
      <c r="K57" s="6"/>
      <c r="L57" s="7" t="s">
        <v>54</v>
      </c>
      <c r="M57" s="206">
        <f t="shared" ref="M57:P57" si="39">M37-M14</f>
        <v>0</v>
      </c>
      <c r="N57" s="207">
        <f t="shared" si="39"/>
        <v>0</v>
      </c>
      <c r="O57" s="207">
        <f t="shared" si="39"/>
        <v>0</v>
      </c>
      <c r="P57" s="208">
        <f t="shared" si="39"/>
        <v>0</v>
      </c>
      <c r="Q57" s="8"/>
      <c r="R57" s="6"/>
      <c r="S57" s="177">
        <v>0.44800000000000001</v>
      </c>
      <c r="T57" s="146">
        <v>0</v>
      </c>
      <c r="U57" s="178" t="str">
        <f>IF(T57=T37,"Ok","Attention taux")</f>
        <v>Ok</v>
      </c>
    </row>
    <row r="58" spans="2:21" ht="16.5" hidden="1" thickTop="1" thickBot="1" x14ac:dyDescent="0.3">
      <c r="B58" s="128" t="s">
        <v>11</v>
      </c>
      <c r="C58" s="151">
        <f t="shared" ref="C58:E58" si="40">C38-C16</f>
        <v>0</v>
      </c>
      <c r="D58" s="152">
        <f t="shared" si="40"/>
        <v>0</v>
      </c>
      <c r="E58" s="153">
        <f t="shared" si="40"/>
        <v>0</v>
      </c>
      <c r="F58" s="8"/>
      <c r="K58" s="6"/>
      <c r="L58" s="7" t="s">
        <v>55</v>
      </c>
      <c r="M58" s="206">
        <f t="shared" ref="M58:P58" si="41">M38-M15</f>
        <v>0</v>
      </c>
      <c r="N58" s="207">
        <f t="shared" si="41"/>
        <v>0</v>
      </c>
      <c r="O58" s="207">
        <f t="shared" si="41"/>
        <v>0</v>
      </c>
      <c r="P58" s="208">
        <f t="shared" si="41"/>
        <v>0</v>
      </c>
      <c r="Q58" s="8"/>
      <c r="R58" s="129"/>
      <c r="S58" s="130"/>
      <c r="T58" s="9"/>
    </row>
    <row r="59" spans="2:21" ht="15.75" hidden="1" thickTop="1" x14ac:dyDescent="0.25">
      <c r="B59" s="6"/>
      <c r="C59" s="243" t="s">
        <v>16</v>
      </c>
      <c r="D59" s="185"/>
      <c r="E59" s="186"/>
      <c r="F59" s="8"/>
      <c r="K59" s="6"/>
      <c r="L59" s="7" t="s">
        <v>56</v>
      </c>
      <c r="M59" s="206">
        <f t="shared" ref="M59:P59" si="42">M39-M16</f>
        <v>0</v>
      </c>
      <c r="N59" s="207">
        <f t="shared" si="42"/>
        <v>0</v>
      </c>
      <c r="O59" s="207">
        <f t="shared" si="42"/>
        <v>0</v>
      </c>
      <c r="P59" s="208">
        <f t="shared" si="42"/>
        <v>0</v>
      </c>
      <c r="Q59" s="8"/>
    </row>
    <row r="60" spans="2:21" ht="15.75" hidden="1" thickBot="1" x14ac:dyDescent="0.3">
      <c r="B60" s="6"/>
      <c r="C60" s="232" t="s">
        <v>5</v>
      </c>
      <c r="D60" s="233" t="s">
        <v>6</v>
      </c>
      <c r="E60" s="234" t="s">
        <v>7</v>
      </c>
      <c r="F60" s="8"/>
      <c r="K60" s="6"/>
      <c r="L60" s="7" t="s">
        <v>57</v>
      </c>
      <c r="M60" s="206">
        <f t="shared" ref="M60:P60" si="43">M40-M17</f>
        <v>0</v>
      </c>
      <c r="N60" s="207">
        <f t="shared" si="43"/>
        <v>0</v>
      </c>
      <c r="O60" s="207">
        <f t="shared" si="43"/>
        <v>0</v>
      </c>
      <c r="P60" s="208">
        <f t="shared" si="43"/>
        <v>0</v>
      </c>
      <c r="Q60" s="8"/>
    </row>
    <row r="61" spans="2:21" ht="16.5" hidden="1" thickTop="1" thickBot="1" x14ac:dyDescent="0.3">
      <c r="B61" s="128" t="s">
        <v>80</v>
      </c>
      <c r="C61" s="154">
        <f t="shared" ref="C61:E61" si="44">C41-C19</f>
        <v>0</v>
      </c>
      <c r="D61" s="155">
        <f t="shared" si="44"/>
        <v>0</v>
      </c>
      <c r="E61" s="156">
        <f t="shared" si="44"/>
        <v>0</v>
      </c>
      <c r="F61" s="157">
        <f>ROUND(C61/C19,3)</f>
        <v>0</v>
      </c>
      <c r="K61" s="6"/>
      <c r="L61" s="7" t="s">
        <v>58</v>
      </c>
      <c r="M61" s="206">
        <f t="shared" ref="M61:P61" si="45">M41-M18</f>
        <v>0</v>
      </c>
      <c r="N61" s="207">
        <f t="shared" si="45"/>
        <v>0</v>
      </c>
      <c r="O61" s="207">
        <f t="shared" si="45"/>
        <v>0</v>
      </c>
      <c r="P61" s="208">
        <f t="shared" si="45"/>
        <v>0</v>
      </c>
      <c r="Q61" s="8"/>
    </row>
    <row r="62" spans="2:21" ht="16.5" hidden="1" thickTop="1" thickBot="1" x14ac:dyDescent="0.3">
      <c r="B62" s="128" t="s">
        <v>81</v>
      </c>
      <c r="C62" s="149">
        <f t="shared" ref="C62:E62" si="46">C42-C20</f>
        <v>0</v>
      </c>
      <c r="D62" s="148">
        <f t="shared" si="46"/>
        <v>0</v>
      </c>
      <c r="E62" s="150">
        <f t="shared" si="46"/>
        <v>0</v>
      </c>
      <c r="F62" s="159" t="str">
        <f>IF(F61=F41,"Ok","Attention taux")</f>
        <v>Ok</v>
      </c>
      <c r="K62" s="6"/>
      <c r="L62" s="7" t="s">
        <v>59</v>
      </c>
      <c r="M62" s="209">
        <f t="shared" ref="M62:P62" si="47">M42-M19</f>
        <v>0</v>
      </c>
      <c r="N62" s="210">
        <f t="shared" si="47"/>
        <v>0</v>
      </c>
      <c r="O62" s="210">
        <f t="shared" si="47"/>
        <v>0</v>
      </c>
      <c r="P62" s="211">
        <f t="shared" si="47"/>
        <v>0</v>
      </c>
      <c r="Q62" s="8"/>
    </row>
    <row r="63" spans="2:21" ht="15.75" hidden="1" thickTop="1" x14ac:dyDescent="0.25">
      <c r="B63" s="128" t="s">
        <v>82</v>
      </c>
      <c r="C63" s="149">
        <f t="shared" ref="C63:E63" si="48">C43-C21</f>
        <v>0</v>
      </c>
      <c r="D63" s="148">
        <f t="shared" si="48"/>
        <v>0</v>
      </c>
      <c r="E63" s="150">
        <f t="shared" si="48"/>
        <v>0</v>
      </c>
      <c r="F63" s="8"/>
      <c r="K63" s="129"/>
      <c r="L63" s="130"/>
      <c r="M63" s="130"/>
      <c r="N63" s="130"/>
      <c r="O63" s="130"/>
      <c r="P63" s="130"/>
      <c r="Q63" s="9"/>
    </row>
    <row r="64" spans="2:21" ht="15.75" hidden="1" thickBot="1" x14ac:dyDescent="0.3">
      <c r="B64" s="128" t="s">
        <v>11</v>
      </c>
      <c r="C64" s="151">
        <f t="shared" ref="C64:E64" si="49">C44-C22</f>
        <v>0</v>
      </c>
      <c r="D64" s="152">
        <f t="shared" si="49"/>
        <v>0</v>
      </c>
      <c r="E64" s="153">
        <f t="shared" si="49"/>
        <v>0</v>
      </c>
      <c r="F64" s="8"/>
    </row>
    <row r="65" spans="2:6" ht="15.75" hidden="1" thickTop="1" x14ac:dyDescent="0.25">
      <c r="B65" s="129"/>
      <c r="C65" s="130"/>
      <c r="D65" s="130"/>
      <c r="E65" s="130"/>
      <c r="F65" s="9"/>
    </row>
    <row r="66" spans="2:6" hidden="1" x14ac:dyDescent="0.25"/>
    <row r="67" spans="2:6" hidden="1" x14ac:dyDescent="0.25"/>
    <row r="68" spans="2:6" hidden="1" x14ac:dyDescent="0.25"/>
    <row r="69" spans="2:6" hidden="1" x14ac:dyDescent="0.25"/>
    <row r="70" spans="2:6" hidden="1" x14ac:dyDescent="0.25"/>
    <row r="71" spans="2:6" hidden="1" x14ac:dyDescent="0.25">
      <c r="B71" t="s">
        <v>303</v>
      </c>
    </row>
    <row r="72" spans="2:6" hidden="1" x14ac:dyDescent="0.25">
      <c r="B72" s="509"/>
      <c r="C72" s="411" t="s">
        <v>300</v>
      </c>
      <c r="D72" s="411"/>
    </row>
    <row r="73" spans="2:6" hidden="1" x14ac:dyDescent="0.25">
      <c r="B73" s="510"/>
      <c r="C73" t="s">
        <v>301</v>
      </c>
    </row>
    <row r="74" spans="2:6" hidden="1" x14ac:dyDescent="0.25">
      <c r="B74" s="511"/>
      <c r="C74" s="411" t="s">
        <v>302</v>
      </c>
    </row>
    <row r="75" spans="2:6" hidden="1" x14ac:dyDescent="0.25"/>
    <row r="76" spans="2:6" hidden="1" x14ac:dyDescent="0.25"/>
    <row r="77" spans="2:6" hidden="1" x14ac:dyDescent="0.25">
      <c r="C77" t="s">
        <v>134</v>
      </c>
    </row>
    <row r="78" spans="2:6" hidden="1" x14ac:dyDescent="0.25">
      <c r="C78" t="s">
        <v>299</v>
      </c>
    </row>
    <row r="79" spans="2:6" hidden="1" x14ac:dyDescent="0.25"/>
    <row r="80" spans="2: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2:7" hidden="1" x14ac:dyDescent="0.25"/>
    <row r="98" spans="2:7" hidden="1" x14ac:dyDescent="0.25"/>
    <row r="99" spans="2:7" hidden="1" x14ac:dyDescent="0.25"/>
    <row r="100" spans="2:7" hidden="1" x14ac:dyDescent="0.25"/>
    <row r="101" spans="2:7" hidden="1" x14ac:dyDescent="0.25"/>
    <row r="102" spans="2:7" hidden="1" x14ac:dyDescent="0.25"/>
    <row r="103" spans="2:7" hidden="1" x14ac:dyDescent="0.25"/>
    <row r="104" spans="2:7" hidden="1" x14ac:dyDescent="0.25"/>
    <row r="105" spans="2:7" hidden="1" x14ac:dyDescent="0.25"/>
    <row r="106" spans="2:7" hidden="1" x14ac:dyDescent="0.25"/>
    <row r="107" spans="2:7" hidden="1" x14ac:dyDescent="0.25"/>
    <row r="108" spans="2:7" hidden="1" x14ac:dyDescent="0.25"/>
    <row r="109" spans="2:7" hidden="1" x14ac:dyDescent="0.25"/>
    <row r="110" spans="2:7" ht="15.75" hidden="1" thickBot="1" x14ac:dyDescent="0.3"/>
    <row r="111" spans="2:7" ht="16.5" hidden="1" thickTop="1" thickBot="1" x14ac:dyDescent="0.3">
      <c r="B111" s="183" t="s">
        <v>109</v>
      </c>
      <c r="C111" s="175">
        <f>ROUND(C113*(1+$D111),4)</f>
        <v>0</v>
      </c>
      <c r="D111" s="146">
        <v>0</v>
      </c>
      <c r="E111" s="170" t="str">
        <f>CONCATENATE("Sur 22 paies et ",(C111*22)/26,"$ sur 22 paies")</f>
        <v>Sur 22 paies et 0$ sur 22 paies</v>
      </c>
      <c r="F111" s="172"/>
      <c r="G111" s="171"/>
    </row>
    <row r="112" spans="2:7" ht="16.5" hidden="1" thickTop="1" thickBot="1" x14ac:dyDescent="0.3"/>
    <row r="113" spans="2:4" ht="16.5" hidden="1" thickTop="1" thickBot="1" x14ac:dyDescent="0.3">
      <c r="B113" s="512" t="s">
        <v>109</v>
      </c>
      <c r="C113" s="173">
        <v>0</v>
      </c>
      <c r="D113" t="s">
        <v>304</v>
      </c>
    </row>
    <row r="114" spans="2:4" ht="16.5" hidden="1" thickTop="1" thickBot="1" x14ac:dyDescent="0.3"/>
    <row r="115" spans="2:4" ht="16.5" hidden="1" thickTop="1" thickBot="1" x14ac:dyDescent="0.3">
      <c r="B115" s="411"/>
      <c r="C115" s="170" t="str">
        <f>CONCATENATE("Sur 22 paies et ",(C113*22)/26,"$ sur 22 paies")</f>
        <v>Sur 22 paies et 0$ sur 22 paies</v>
      </c>
    </row>
  </sheetData>
  <mergeCells count="6">
    <mergeCell ref="M8:N8"/>
    <mergeCell ref="O8:P8"/>
    <mergeCell ref="M31:N31"/>
    <mergeCell ref="O31:P31"/>
    <mergeCell ref="M51:N51"/>
    <mergeCell ref="O51:P5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80000"/>
  </sheetPr>
  <dimension ref="A1:GV127"/>
  <sheetViews>
    <sheetView topLeftCell="A94" zoomScaleNormal="100" workbookViewId="0">
      <selection activeCell="L15" sqref="L15"/>
    </sheetView>
  </sheetViews>
  <sheetFormatPr baseColWidth="10" defaultRowHeight="15" x14ac:dyDescent="0.25"/>
  <cols>
    <col min="1" max="1" width="2.5703125" customWidth="1"/>
    <col min="2" max="2" width="4.28515625" customWidth="1"/>
    <col min="3" max="3" width="0.7109375" customWidth="1"/>
    <col min="4" max="5" width="2.140625" customWidth="1"/>
    <col min="6" max="6" width="4.140625" customWidth="1"/>
    <col min="7" max="7" width="5.7109375" customWidth="1"/>
    <col min="8" max="8" width="2" customWidth="1"/>
    <col min="9" max="9" width="4.140625" customWidth="1"/>
    <col min="10" max="10" width="9.140625" customWidth="1"/>
    <col min="11" max="11" width="6.7109375" customWidth="1"/>
    <col min="12" max="12" width="14.42578125" customWidth="1"/>
    <col min="13" max="13" width="6.28515625" customWidth="1"/>
    <col min="14" max="14" width="3.5703125" customWidth="1"/>
    <col min="15" max="15" width="4.7109375" customWidth="1"/>
    <col min="16" max="16" width="5.42578125" customWidth="1"/>
    <col min="17" max="17" width="4.28515625" customWidth="1"/>
    <col min="18" max="18" width="0.7109375" customWidth="1"/>
    <col min="19" max="19" width="5.7109375" customWidth="1"/>
    <col min="20" max="20" width="4.5703125" customWidth="1"/>
    <col min="21" max="21" width="8.42578125" customWidth="1"/>
    <col min="22" max="22" width="15.5703125" customWidth="1"/>
    <col min="23" max="23" width="23" customWidth="1"/>
    <col min="24" max="24" width="13.28515625" customWidth="1"/>
    <col min="25" max="25" width="12.140625" customWidth="1"/>
    <col min="27" max="27" width="11.5703125" customWidth="1"/>
    <col min="28" max="28" width="18.28515625" customWidth="1"/>
    <col min="29" max="29" width="2.28515625" customWidth="1"/>
  </cols>
  <sheetData>
    <row r="1" spans="1:204" ht="121.5" customHeight="1" x14ac:dyDescent="0.25">
      <c r="A1" s="412"/>
      <c r="B1" s="686"/>
      <c r="C1" s="413"/>
      <c r="D1" s="688"/>
      <c r="E1" s="688"/>
      <c r="F1" s="688"/>
      <c r="G1" s="688"/>
      <c r="H1" s="688"/>
      <c r="I1" s="688"/>
      <c r="J1" s="688"/>
      <c r="K1" s="688"/>
      <c r="L1" s="688"/>
      <c r="M1" s="688"/>
      <c r="N1" s="688"/>
      <c r="O1" s="688"/>
      <c r="P1" s="688"/>
      <c r="Q1" s="688"/>
      <c r="R1" s="688"/>
      <c r="S1" s="688"/>
      <c r="T1" s="688"/>
      <c r="U1" s="686"/>
      <c r="V1" s="686"/>
      <c r="W1" s="686"/>
      <c r="X1" s="720"/>
      <c r="Y1" s="411"/>
      <c r="Z1" s="411"/>
      <c r="AA1" s="411"/>
      <c r="AB1" s="411"/>
      <c r="AC1" s="414"/>
      <c r="AD1" s="554"/>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1"/>
      <c r="CX1" s="411"/>
      <c r="CY1" s="411"/>
      <c r="CZ1" s="411"/>
      <c r="DA1" s="411"/>
      <c r="DB1" s="411"/>
      <c r="DC1" s="411"/>
      <c r="DD1" s="411"/>
      <c r="DE1" s="411"/>
      <c r="DF1" s="411"/>
      <c r="DG1" s="411"/>
      <c r="DH1" s="411"/>
      <c r="DI1" s="411"/>
      <c r="DJ1" s="411"/>
      <c r="DK1" s="411"/>
      <c r="DL1" s="411"/>
      <c r="DM1" s="411"/>
      <c r="DN1" s="411"/>
      <c r="DO1" s="411"/>
      <c r="DP1" s="411"/>
      <c r="DQ1" s="411"/>
      <c r="DR1" s="411"/>
      <c r="DS1" s="411"/>
      <c r="DT1" s="411"/>
      <c r="DU1" s="411"/>
      <c r="DV1" s="411"/>
      <c r="DW1" s="411"/>
      <c r="DX1" s="411"/>
      <c r="DY1" s="411"/>
      <c r="DZ1" s="411"/>
      <c r="EA1" s="411"/>
      <c r="EB1" s="411"/>
      <c r="EC1" s="411"/>
      <c r="ED1" s="411"/>
      <c r="EE1" s="411"/>
      <c r="EF1" s="411"/>
      <c r="EG1" s="411"/>
      <c r="EH1" s="411"/>
      <c r="EI1" s="411"/>
      <c r="EJ1" s="411"/>
      <c r="EK1" s="411"/>
      <c r="EL1" s="411"/>
      <c r="EM1" s="411"/>
      <c r="EN1" s="411"/>
      <c r="EO1" s="411"/>
      <c r="EP1" s="411"/>
      <c r="EQ1" s="411"/>
      <c r="ER1" s="411"/>
      <c r="ES1" s="411"/>
      <c r="ET1" s="411"/>
      <c r="EU1" s="411"/>
      <c r="EV1" s="411"/>
      <c r="EW1" s="411"/>
      <c r="EX1" s="411"/>
      <c r="EY1" s="411"/>
      <c r="EZ1" s="411"/>
      <c r="FA1" s="411"/>
      <c r="FB1" s="411"/>
      <c r="FC1" s="411"/>
      <c r="FD1" s="411"/>
      <c r="FE1" s="411"/>
      <c r="FF1" s="411"/>
      <c r="FG1" s="411"/>
      <c r="FH1" s="411"/>
      <c r="FI1" s="411"/>
      <c r="FJ1" s="411"/>
      <c r="FK1" s="411"/>
      <c r="FL1" s="411"/>
      <c r="FM1" s="411"/>
      <c r="FN1" s="411"/>
      <c r="FO1" s="411"/>
      <c r="FP1" s="411"/>
      <c r="FQ1" s="411"/>
      <c r="FR1" s="411"/>
      <c r="FS1" s="411"/>
      <c r="FT1" s="411"/>
      <c r="FU1" s="411"/>
      <c r="FV1" s="411"/>
      <c r="FW1" s="411"/>
      <c r="FX1" s="411"/>
      <c r="FY1" s="411"/>
      <c r="FZ1" s="411"/>
      <c r="GA1" s="411"/>
      <c r="GB1" s="411"/>
      <c r="GC1" s="411"/>
      <c r="GD1" s="411"/>
      <c r="GE1" s="411"/>
      <c r="GF1" s="411"/>
      <c r="GG1" s="411"/>
      <c r="GH1" s="411"/>
      <c r="GI1" s="411"/>
      <c r="GJ1" s="411"/>
      <c r="GK1" s="411"/>
      <c r="GL1" s="411"/>
      <c r="GM1" s="411"/>
      <c r="GN1" s="411"/>
      <c r="GO1" s="411"/>
      <c r="GP1" s="411"/>
      <c r="GQ1" s="411"/>
      <c r="GR1" s="411"/>
      <c r="GS1" s="411"/>
      <c r="GT1" s="411"/>
      <c r="GU1" s="411"/>
      <c r="GV1" s="411"/>
    </row>
    <row r="2" spans="1:204" ht="39.75" customHeight="1" x14ac:dyDescent="0.35">
      <c r="A2" s="536"/>
      <c r="B2" s="721"/>
      <c r="C2" s="537"/>
      <c r="D2" s="723"/>
      <c r="E2" s="723"/>
      <c r="F2" s="723"/>
      <c r="G2" s="723"/>
      <c r="H2" s="723"/>
      <c r="I2" s="723"/>
      <c r="J2" s="723"/>
      <c r="K2" s="723"/>
      <c r="L2" s="723"/>
      <c r="M2" s="723"/>
      <c r="N2" s="723"/>
      <c r="O2" s="723"/>
      <c r="P2" s="723"/>
      <c r="Q2" s="723"/>
      <c r="R2" s="723"/>
      <c r="S2" s="723"/>
      <c r="T2" s="723"/>
      <c r="U2" s="721"/>
      <c r="V2" s="721"/>
      <c r="W2" s="721"/>
      <c r="X2" s="722"/>
      <c r="Y2" s="411"/>
      <c r="Z2" s="411"/>
      <c r="AA2" s="411"/>
      <c r="AB2" s="411"/>
      <c r="AC2" s="414"/>
      <c r="AD2" s="411"/>
      <c r="AE2" s="555" t="s">
        <v>321</v>
      </c>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row>
    <row r="3" spans="1:204" s="411" customFormat="1" ht="27.6" customHeight="1" thickBot="1" x14ac:dyDescent="0.4">
      <c r="A3" s="542"/>
      <c r="B3" s="382" t="s">
        <v>141</v>
      </c>
      <c r="C3" s="282"/>
      <c r="D3" s="282"/>
      <c r="E3" s="282"/>
      <c r="F3" s="283"/>
      <c r="G3" s="283"/>
      <c r="H3" s="283"/>
      <c r="I3" s="283"/>
      <c r="J3" s="283"/>
      <c r="K3" s="283"/>
      <c r="L3" s="283"/>
      <c r="M3" s="283"/>
      <c r="N3" s="283"/>
      <c r="O3" s="283"/>
      <c r="P3" s="283"/>
      <c r="Q3" s="540" t="str">
        <f>IF(I4&gt;=65,IF(COUNTBLANK(Q4:U4)&lt;3,"You can't choose more than one answer",IF(COUNTBLANK(Q4:U4)=4,"Write an X beside your choice and erace the other one","")),"")</f>
        <v/>
      </c>
      <c r="R3" s="283"/>
      <c r="S3" s="541"/>
      <c r="T3" s="541"/>
      <c r="U3" s="541"/>
      <c r="V3" s="283"/>
      <c r="W3" s="283"/>
      <c r="X3" s="283"/>
      <c r="Y3" s="283"/>
      <c r="Z3" s="283"/>
      <c r="AA3" s="283"/>
      <c r="AB3" s="283"/>
      <c r="AC3" s="284"/>
    </row>
    <row r="4" spans="1:204" s="411" customFormat="1" ht="22.9" customHeight="1" thickBot="1" x14ac:dyDescent="0.4">
      <c r="A4" s="543"/>
      <c r="B4" s="429"/>
      <c r="C4" s="416"/>
      <c r="D4" s="417"/>
      <c r="E4" s="429"/>
      <c r="F4" s="429"/>
      <c r="G4" s="429"/>
      <c r="H4" s="522" t="s">
        <v>313</v>
      </c>
      <c r="I4" s="548">
        <v>60</v>
      </c>
      <c r="J4" s="521" t="s">
        <v>314</v>
      </c>
      <c r="K4" s="523"/>
      <c r="L4" s="691" t="str">
        <f>IF(I4&gt;=65,"Are you registered with the RMAQ ? ","")</f>
        <v/>
      </c>
      <c r="M4" s="692"/>
      <c r="N4" s="692"/>
      <c r="O4" s="692"/>
      <c r="P4" s="692"/>
      <c r="Q4" s="397"/>
      <c r="R4" s="519" t="str">
        <f>IF(I4&gt;=65,"Yes","")</f>
        <v/>
      </c>
      <c r="S4" s="531"/>
      <c r="T4" s="429"/>
      <c r="U4" s="397"/>
      <c r="V4" s="519" t="str">
        <f>IF(I4&gt;=65,"No","")</f>
        <v/>
      </c>
      <c r="W4" s="429"/>
      <c r="X4" s="429"/>
      <c r="Y4" s="429"/>
      <c r="Z4" s="429"/>
      <c r="AA4" s="429"/>
      <c r="AB4" s="429"/>
      <c r="AC4" s="288"/>
    </row>
    <row r="5" spans="1:204" ht="21" x14ac:dyDescent="0.35">
      <c r="A5" s="421"/>
      <c r="B5" s="429"/>
      <c r="C5" s="321"/>
      <c r="D5" s="321"/>
      <c r="E5" s="321"/>
      <c r="F5" s="429"/>
      <c r="G5" s="429"/>
      <c r="H5" s="429"/>
      <c r="I5" s="429"/>
      <c r="J5" s="429"/>
      <c r="K5" s="429"/>
      <c r="L5" s="429"/>
      <c r="M5" s="429"/>
      <c r="N5" s="429"/>
      <c r="O5" s="429"/>
      <c r="P5" s="429"/>
      <c r="Q5" s="520" t="str">
        <f>IF(I4&gt;=65,"",IF(AND(I4&lt;65,U4="",Q4=""),"","Erace the X obove"))</f>
        <v/>
      </c>
      <c r="R5" s="429"/>
      <c r="S5" s="429"/>
      <c r="T5" s="429"/>
      <c r="U5" s="429"/>
      <c r="V5" s="429"/>
      <c r="W5" s="429"/>
      <c r="X5" s="429"/>
      <c r="Y5" s="429"/>
      <c r="Z5" s="429"/>
      <c r="AA5" s="429"/>
      <c r="AB5" s="429"/>
      <c r="AC5" s="288"/>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c r="EA5" s="279"/>
      <c r="EB5" s="279"/>
      <c r="EC5" s="279"/>
      <c r="ED5" s="279"/>
      <c r="EE5" s="279"/>
      <c r="EF5" s="279"/>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G5" s="279"/>
      <c r="FH5" s="279"/>
      <c r="FI5" s="279"/>
      <c r="FJ5" s="279"/>
      <c r="FK5" s="279"/>
      <c r="FL5" s="279"/>
      <c r="FM5" s="279"/>
      <c r="FN5" s="279"/>
      <c r="FO5" s="279"/>
      <c r="FP5" s="279"/>
      <c r="FQ5" s="279"/>
      <c r="FR5" s="279"/>
      <c r="FS5" s="279"/>
      <c r="FT5" s="279"/>
      <c r="FU5" s="279"/>
      <c r="FV5" s="279"/>
      <c r="FW5" s="279"/>
      <c r="FX5" s="279"/>
      <c r="FY5" s="279"/>
      <c r="FZ5" s="279"/>
      <c r="GA5" s="279"/>
      <c r="GB5" s="279"/>
      <c r="GC5" s="279"/>
      <c r="GD5" s="279"/>
      <c r="GE5" s="279"/>
      <c r="GF5" s="279"/>
      <c r="GG5" s="279"/>
      <c r="GH5" s="279"/>
      <c r="GI5" s="279"/>
      <c r="GJ5" s="279"/>
      <c r="GK5" s="279"/>
      <c r="GL5" s="279"/>
      <c r="GM5" s="279"/>
      <c r="GN5" s="279"/>
      <c r="GO5" s="279"/>
      <c r="GP5" s="279"/>
      <c r="GQ5" s="279"/>
      <c r="GR5" s="280"/>
      <c r="GS5" s="280"/>
      <c r="GT5" s="280"/>
      <c r="GU5" s="280"/>
      <c r="GV5" s="280"/>
    </row>
    <row r="6" spans="1:204" ht="15.75" customHeight="1" thickBot="1" x14ac:dyDescent="0.3">
      <c r="A6" s="285"/>
      <c r="B6" s="655" t="s">
        <v>341</v>
      </c>
      <c r="C6" s="655"/>
      <c r="D6" s="655"/>
      <c r="E6" s="655"/>
      <c r="F6" s="655"/>
      <c r="G6" s="655"/>
      <c r="H6" s="655"/>
      <c r="I6" s="655"/>
      <c r="J6" s="655"/>
      <c r="K6" s="655"/>
      <c r="L6" s="655"/>
      <c r="M6" s="655"/>
      <c r="N6" s="655"/>
      <c r="O6" s="655"/>
      <c r="P6" s="286"/>
      <c r="Q6" s="638" t="s">
        <v>142</v>
      </c>
      <c r="R6" s="286"/>
      <c r="S6" s="286"/>
      <c r="T6" s="286"/>
      <c r="U6" s="286"/>
      <c r="V6" s="286"/>
      <c r="W6" s="286"/>
      <c r="X6" s="286"/>
      <c r="Y6" s="286"/>
      <c r="Z6" s="286"/>
      <c r="AA6" s="287"/>
      <c r="AB6" s="287"/>
      <c r="AC6" s="288"/>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c r="GD6" s="279"/>
      <c r="GE6" s="279"/>
      <c r="GF6" s="279"/>
      <c r="GG6" s="279"/>
      <c r="GH6" s="279"/>
      <c r="GI6" s="279"/>
      <c r="GJ6" s="279"/>
      <c r="GK6" s="279"/>
      <c r="GL6" s="279"/>
      <c r="GM6" s="279"/>
      <c r="GN6" s="279"/>
      <c r="GO6" s="279"/>
      <c r="GP6" s="279"/>
      <c r="GQ6" s="279"/>
      <c r="GR6" s="280"/>
      <c r="GS6" s="280"/>
      <c r="GT6" s="280"/>
      <c r="GU6" s="279"/>
      <c r="GV6" s="279"/>
    </row>
    <row r="7" spans="1:204" ht="21.75" customHeight="1" thickBot="1" x14ac:dyDescent="0.4">
      <c r="A7" s="285"/>
      <c r="B7" s="395"/>
      <c r="C7" s="289"/>
      <c r="D7" s="658" t="s">
        <v>143</v>
      </c>
      <c r="E7" s="659"/>
      <c r="F7" s="659"/>
      <c r="G7" s="659"/>
      <c r="H7" s="659"/>
      <c r="I7" s="659"/>
      <c r="J7" s="659"/>
      <c r="K7" s="659"/>
      <c r="L7" s="660"/>
      <c r="M7" s="693" t="str">
        <f>IF(COUNTBLANK(B7:B13)&lt;6,"You can't choose more than one answer",IF(COUNTBLANK(B7:B13)=7,"You have to choose an answer",""))</f>
        <v>You have to choose an answer</v>
      </c>
      <c r="N7" s="693"/>
      <c r="O7" s="693"/>
      <c r="P7" s="286"/>
      <c r="Q7" s="395"/>
      <c r="R7" s="291"/>
      <c r="S7" s="658" t="s">
        <v>144</v>
      </c>
      <c r="T7" s="659"/>
      <c r="U7" s="660"/>
      <c r="V7" s="694" t="str">
        <f>IF(AND(A13="X",OR(COUNTIF(Q7:Q13,"X")=0,COUNTIF(Q7:Q13,"X")=1)),"",IF(COUNTIF(Q7:Q13,"X")&gt;1,"You can't choose more than one answer",IF(COUNTBLANK(Q7:Q13)=7,"You have to choose a coverage status","")))</f>
        <v>You have to choose a coverage status</v>
      </c>
      <c r="W7" s="694"/>
      <c r="X7" s="292"/>
      <c r="Y7" s="287"/>
      <c r="Z7" s="293"/>
      <c r="AA7" s="287"/>
      <c r="AB7" s="287"/>
      <c r="AC7" s="288"/>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c r="GD7" s="279"/>
      <c r="GE7" s="279"/>
      <c r="GF7" s="279"/>
      <c r="GG7" s="279"/>
      <c r="GH7" s="279"/>
      <c r="GI7" s="279"/>
      <c r="GJ7" s="279"/>
      <c r="GK7" s="279"/>
      <c r="GL7" s="279"/>
      <c r="GM7" s="279"/>
      <c r="GN7" s="279"/>
      <c r="GO7" s="279"/>
      <c r="GP7" s="279"/>
      <c r="GQ7" s="279"/>
      <c r="GR7" s="280"/>
      <c r="GS7" s="280"/>
      <c r="GT7" s="280"/>
      <c r="GU7" s="280"/>
      <c r="GV7" s="280"/>
    </row>
    <row r="8" spans="1:204" ht="4.5" customHeight="1" thickBot="1" x14ac:dyDescent="0.4">
      <c r="A8" s="285"/>
      <c r="B8" s="397"/>
      <c r="C8" s="289"/>
      <c r="D8" s="290"/>
      <c r="E8" s="290"/>
      <c r="F8" s="290"/>
      <c r="G8" s="290"/>
      <c r="H8" s="290"/>
      <c r="I8" s="290"/>
      <c r="J8" s="290"/>
      <c r="K8" s="290"/>
      <c r="L8" s="290"/>
      <c r="M8" s="693"/>
      <c r="N8" s="693"/>
      <c r="O8" s="693"/>
      <c r="P8" s="286"/>
      <c r="Q8" s="398"/>
      <c r="R8" s="291"/>
      <c r="S8" s="290"/>
      <c r="T8" s="290"/>
      <c r="U8" s="290"/>
      <c r="V8" s="694"/>
      <c r="W8" s="694"/>
      <c r="X8" s="292"/>
      <c r="Y8" s="287"/>
      <c r="Z8" s="293"/>
      <c r="AA8" s="287"/>
      <c r="AB8" s="287"/>
      <c r="AC8" s="288"/>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80"/>
      <c r="GS8" s="280"/>
      <c r="GT8" s="280"/>
      <c r="GU8" s="280"/>
      <c r="GV8" s="280"/>
    </row>
    <row r="9" spans="1:204" ht="21.75" customHeight="1" thickBot="1" x14ac:dyDescent="0.4">
      <c r="A9" s="285"/>
      <c r="B9" s="395"/>
      <c r="C9" s="289"/>
      <c r="D9" s="658" t="s">
        <v>145</v>
      </c>
      <c r="E9" s="659"/>
      <c r="F9" s="659"/>
      <c r="G9" s="659"/>
      <c r="H9" s="659"/>
      <c r="I9" s="659"/>
      <c r="J9" s="659"/>
      <c r="K9" s="659"/>
      <c r="L9" s="660"/>
      <c r="M9" s="693"/>
      <c r="N9" s="693"/>
      <c r="O9" s="693"/>
      <c r="P9" s="286"/>
      <c r="Q9" s="395"/>
      <c r="R9" s="291"/>
      <c r="S9" s="658" t="s">
        <v>146</v>
      </c>
      <c r="T9" s="659"/>
      <c r="U9" s="660"/>
      <c r="V9" s="694"/>
      <c r="W9" s="694"/>
      <c r="X9" s="292"/>
      <c r="Y9" s="287"/>
      <c r="Z9" s="287"/>
      <c r="AA9" s="287"/>
      <c r="AB9" s="287"/>
      <c r="AC9" s="288"/>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80"/>
      <c r="GS9" s="280"/>
      <c r="GT9" s="280"/>
      <c r="GU9" s="280"/>
      <c r="GV9" s="280"/>
    </row>
    <row r="10" spans="1:204" ht="4.5" customHeight="1" thickBot="1" x14ac:dyDescent="0.4">
      <c r="A10" s="421"/>
      <c r="B10" s="397"/>
      <c r="C10" s="289"/>
      <c r="D10" s="290"/>
      <c r="E10" s="290"/>
      <c r="F10" s="290"/>
      <c r="G10" s="290"/>
      <c r="H10" s="290"/>
      <c r="I10" s="290"/>
      <c r="J10" s="290"/>
      <c r="K10" s="290"/>
      <c r="L10" s="290"/>
      <c r="M10" s="693"/>
      <c r="N10" s="693"/>
      <c r="O10" s="693"/>
      <c r="P10" s="286"/>
      <c r="Q10" s="398"/>
      <c r="R10" s="291"/>
      <c r="S10" s="290"/>
      <c r="T10" s="290"/>
      <c r="U10" s="290"/>
      <c r="V10" s="694"/>
      <c r="W10" s="694"/>
      <c r="X10" s="292"/>
      <c r="Y10" s="287"/>
      <c r="Z10" s="287"/>
      <c r="AA10" s="287"/>
      <c r="AB10" s="287"/>
      <c r="AC10" s="288"/>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80"/>
      <c r="GS10" s="280"/>
      <c r="GT10" s="280"/>
      <c r="GU10" s="280"/>
      <c r="GV10" s="280"/>
    </row>
    <row r="11" spans="1:204" ht="21.75" customHeight="1" thickBot="1" x14ac:dyDescent="0.4">
      <c r="A11" s="285"/>
      <c r="B11" s="395"/>
      <c r="C11" s="289"/>
      <c r="D11" s="658" t="s">
        <v>147</v>
      </c>
      <c r="E11" s="659"/>
      <c r="F11" s="659"/>
      <c r="G11" s="659"/>
      <c r="H11" s="659"/>
      <c r="I11" s="659"/>
      <c r="J11" s="659"/>
      <c r="K11" s="659"/>
      <c r="L11" s="660"/>
      <c r="M11" s="693"/>
      <c r="N11" s="693"/>
      <c r="O11" s="693"/>
      <c r="P11" s="286"/>
      <c r="Q11" s="395"/>
      <c r="R11" s="291"/>
      <c r="S11" s="658" t="s">
        <v>148</v>
      </c>
      <c r="T11" s="659"/>
      <c r="U11" s="660"/>
      <c r="V11" s="694"/>
      <c r="W11" s="694"/>
      <c r="X11" s="292"/>
      <c r="Y11" s="287"/>
      <c r="Z11" s="287"/>
      <c r="AA11" s="379" t="s">
        <v>356</v>
      </c>
      <c r="AB11" s="295">
        <f>IF(AND(V9="",M9="",Q3=""),'Taux anglais'!F22,0)</f>
        <v>0</v>
      </c>
      <c r="AC11" s="288"/>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80"/>
      <c r="GS11" s="280"/>
      <c r="GT11" s="280"/>
      <c r="GU11" s="280"/>
      <c r="GV11" s="280"/>
    </row>
    <row r="12" spans="1:204" ht="4.5" customHeight="1" thickBot="1" x14ac:dyDescent="0.4">
      <c r="A12" s="285"/>
      <c r="B12" s="397"/>
      <c r="C12" s="289"/>
      <c r="D12" s="290"/>
      <c r="E12" s="290"/>
      <c r="F12" s="290"/>
      <c r="G12" s="290"/>
      <c r="H12" s="290"/>
      <c r="I12" s="290"/>
      <c r="J12" s="290"/>
      <c r="K12" s="290"/>
      <c r="L12" s="290"/>
      <c r="M12" s="693"/>
      <c r="N12" s="693"/>
      <c r="O12" s="693"/>
      <c r="P12" s="286"/>
      <c r="Q12" s="398"/>
      <c r="R12" s="291"/>
      <c r="S12" s="290"/>
      <c r="T12" s="290"/>
      <c r="U12" s="290"/>
      <c r="V12" s="694"/>
      <c r="W12" s="694"/>
      <c r="X12" s="292"/>
      <c r="Y12" s="287"/>
      <c r="Z12" s="429"/>
      <c r="AA12" s="429"/>
      <c r="AB12" s="292"/>
      <c r="AC12" s="288"/>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80"/>
      <c r="GS12" s="280"/>
      <c r="GT12" s="280"/>
      <c r="GU12" s="280"/>
      <c r="GV12" s="280"/>
    </row>
    <row r="13" spans="1:204" ht="21.75" customHeight="1" thickBot="1" x14ac:dyDescent="0.4">
      <c r="A13" s="285"/>
      <c r="B13" s="395"/>
      <c r="C13" s="289"/>
      <c r="D13" s="658" t="s">
        <v>149</v>
      </c>
      <c r="E13" s="659"/>
      <c r="F13" s="659"/>
      <c r="G13" s="659"/>
      <c r="H13" s="659"/>
      <c r="I13" s="659"/>
      <c r="J13" s="659"/>
      <c r="K13" s="659"/>
      <c r="L13" s="660"/>
      <c r="M13" s="693"/>
      <c r="N13" s="693"/>
      <c r="O13" s="693"/>
      <c r="P13" s="286"/>
      <c r="Q13" s="395"/>
      <c r="R13" s="291"/>
      <c r="S13" s="658" t="s">
        <v>11</v>
      </c>
      <c r="T13" s="659"/>
      <c r="U13" s="660"/>
      <c r="V13" s="694"/>
      <c r="W13" s="694"/>
      <c r="X13" s="292"/>
      <c r="Y13" s="287"/>
      <c r="Z13" s="422"/>
      <c r="AA13" s="379" t="s">
        <v>357</v>
      </c>
      <c r="AB13" s="295">
        <f>26*AB11</f>
        <v>0</v>
      </c>
      <c r="AC13" s="288"/>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80"/>
      <c r="GS13" s="280"/>
      <c r="GT13" s="280"/>
      <c r="GU13" s="280"/>
      <c r="GV13" s="280"/>
    </row>
    <row r="14" spans="1:204" ht="3.75" customHeight="1" x14ac:dyDescent="0.35">
      <c r="A14" s="285"/>
      <c r="B14" s="289"/>
      <c r="C14" s="290"/>
      <c r="D14" s="290"/>
      <c r="E14" s="290"/>
      <c r="F14" s="290"/>
      <c r="G14" s="290"/>
      <c r="H14" s="290"/>
      <c r="I14" s="290"/>
      <c r="J14" s="290"/>
      <c r="K14" s="290"/>
      <c r="L14" s="291"/>
      <c r="M14" s="290"/>
      <c r="N14" s="286"/>
      <c r="O14" s="286"/>
      <c r="P14" s="286"/>
      <c r="Q14" s="286"/>
      <c r="R14" s="286"/>
      <c r="S14" s="293"/>
      <c r="T14" s="293"/>
      <c r="U14" s="293"/>
      <c r="V14" s="293"/>
      <c r="W14" s="293"/>
      <c r="X14" s="293"/>
      <c r="Y14" s="287"/>
      <c r="Z14" s="501"/>
      <c r="AA14" s="294"/>
      <c r="AB14" s="287"/>
      <c r="AC14" s="288"/>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80"/>
      <c r="GS14" s="280"/>
      <c r="GT14" s="279"/>
      <c r="GU14" s="279"/>
      <c r="GV14" s="279"/>
    </row>
    <row r="15" spans="1:204" x14ac:dyDescent="0.25">
      <c r="A15" s="285"/>
      <c r="B15" s="292"/>
      <c r="C15" s="292"/>
      <c r="D15" s="292"/>
      <c r="E15" s="292"/>
      <c r="F15" s="292"/>
      <c r="G15" s="292"/>
      <c r="H15" s="292"/>
      <c r="I15" s="292"/>
      <c r="J15" s="292"/>
      <c r="K15" s="292"/>
      <c r="L15" s="292"/>
      <c r="M15" s="292"/>
      <c r="N15" s="286"/>
      <c r="O15" s="286"/>
      <c r="P15" s="286"/>
      <c r="Q15" s="292"/>
      <c r="R15" s="296"/>
      <c r="S15" s="291"/>
      <c r="T15" s="291"/>
      <c r="U15" s="291"/>
      <c r="V15" s="291"/>
      <c r="W15" s="291"/>
      <c r="X15" s="291"/>
      <c r="Y15" s="293"/>
      <c r="Z15" s="422"/>
      <c r="AA15" s="501"/>
      <c r="AB15" s="577" t="str">
        <f xml:space="preserve"> IF(AB11&gt;0,"This cost doesn't include the 9 % sales tax","")</f>
        <v/>
      </c>
      <c r="AC15" s="288"/>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80"/>
      <c r="GS15" s="280"/>
      <c r="GT15" s="280"/>
      <c r="GU15" s="280"/>
      <c r="GV15" s="280"/>
    </row>
    <row r="16" spans="1:204" ht="4.5" customHeight="1" x14ac:dyDescent="0.35">
      <c r="A16" s="285"/>
      <c r="B16" s="289"/>
      <c r="C16" s="289"/>
      <c r="D16" s="416"/>
      <c r="E16" s="416"/>
      <c r="F16" s="416"/>
      <c r="G16" s="416"/>
      <c r="H16" s="416"/>
      <c r="I16" s="416"/>
      <c r="J16" s="416"/>
      <c r="K16" s="416"/>
      <c r="L16" s="416"/>
      <c r="M16" s="286"/>
      <c r="N16" s="286"/>
      <c r="O16" s="286"/>
      <c r="P16" s="286"/>
      <c r="Q16" s="292"/>
      <c r="R16" s="296"/>
      <c r="S16" s="291"/>
      <c r="T16" s="291"/>
      <c r="U16" s="291"/>
      <c r="V16" s="291"/>
      <c r="W16" s="291"/>
      <c r="X16" s="291"/>
      <c r="Y16" s="293"/>
      <c r="Z16" s="293"/>
      <c r="AA16" s="297"/>
      <c r="AB16" s="287"/>
      <c r="AC16" s="288"/>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80"/>
      <c r="GS16" s="280"/>
      <c r="GT16" s="280"/>
      <c r="GU16" s="280"/>
      <c r="GV16" s="280"/>
    </row>
    <row r="17" spans="1:204" ht="21" x14ac:dyDescent="0.35">
      <c r="A17" s="298"/>
      <c r="B17" s="299" t="s">
        <v>150</v>
      </c>
      <c r="C17" s="299"/>
      <c r="D17" s="300"/>
      <c r="E17" s="300"/>
      <c r="F17" s="300"/>
      <c r="G17" s="300"/>
      <c r="H17" s="300"/>
      <c r="I17" s="300"/>
      <c r="J17" s="300"/>
      <c r="K17" s="300"/>
      <c r="L17" s="300"/>
      <c r="M17" s="300"/>
      <c r="N17" s="300"/>
      <c r="O17" s="300"/>
      <c r="P17" s="300"/>
      <c r="Q17" s="300"/>
      <c r="R17" s="300"/>
      <c r="S17" s="300"/>
      <c r="T17" s="300"/>
      <c r="U17" s="300"/>
      <c r="V17" s="300"/>
      <c r="W17" s="300"/>
      <c r="X17" s="300"/>
      <c r="Y17" s="301"/>
      <c r="Z17" s="301"/>
      <c r="AA17" s="301"/>
      <c r="AB17" s="301"/>
      <c r="AC17" s="302"/>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80"/>
      <c r="GS17" s="280"/>
      <c r="GT17" s="280"/>
      <c r="GU17" s="280"/>
      <c r="GV17" s="280"/>
    </row>
    <row r="18" spans="1:204" ht="21.75" thickBot="1" x14ac:dyDescent="0.4">
      <c r="A18" s="303"/>
      <c r="B18" s="305" t="s">
        <v>151</v>
      </c>
      <c r="C18" s="304"/>
      <c r="D18" s="305"/>
      <c r="E18" s="306"/>
      <c r="F18" s="306"/>
      <c r="G18" s="306"/>
      <c r="H18" s="306"/>
      <c r="I18" s="306"/>
      <c r="J18" s="306"/>
      <c r="K18" s="306"/>
      <c r="L18" s="306"/>
      <c r="M18" s="306"/>
      <c r="N18" s="306"/>
      <c r="O18" s="306"/>
      <c r="P18" s="306"/>
      <c r="Q18" s="306"/>
      <c r="R18" s="306"/>
      <c r="S18" s="637" t="s">
        <v>152</v>
      </c>
      <c r="T18" s="306"/>
      <c r="U18" s="306"/>
      <c r="V18" s="306"/>
      <c r="W18" s="306"/>
      <c r="X18" s="306"/>
      <c r="Y18" s="307"/>
      <c r="Z18" s="307"/>
      <c r="AA18" s="307"/>
      <c r="AB18" s="307"/>
      <c r="AC18" s="308"/>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80"/>
      <c r="GS18" s="280"/>
      <c r="GT18" s="280"/>
      <c r="GU18" s="280"/>
      <c r="GV18" s="280"/>
    </row>
    <row r="19" spans="1:204" ht="21.75" customHeight="1" thickBot="1" x14ac:dyDescent="0.4">
      <c r="A19" s="303"/>
      <c r="B19" s="395"/>
      <c r="C19" s="309"/>
      <c r="D19" s="681" t="s">
        <v>153</v>
      </c>
      <c r="E19" s="682"/>
      <c r="F19" s="682"/>
      <c r="G19" s="682"/>
      <c r="H19" s="682"/>
      <c r="I19" s="682"/>
      <c r="J19" s="682"/>
      <c r="K19" s="682"/>
      <c r="L19" s="683"/>
      <c r="M19" s="684" t="str">
        <f>IF(COUNTBLANK(B19:B23)&lt;4,"You can't choose more than one answer",IF(COUNTBLANK(B19:B23)=5,"You have to choose an answer",""))</f>
        <v>You have to choose an answer</v>
      </c>
      <c r="N19" s="684"/>
      <c r="O19" s="684"/>
      <c r="P19" s="306"/>
      <c r="Q19" s="306"/>
      <c r="R19" s="306"/>
      <c r="S19" s="675" t="str">
        <f>IF(B19="X","",'Taux anglais'!C9)</f>
        <v/>
      </c>
      <c r="T19" s="676"/>
      <c r="U19" s="676"/>
      <c r="V19" s="677"/>
      <c r="W19" s="695" t="str">
        <f>IF(OR(AND(B13="X",COUNTIF(Q7:Q13,"X")&gt;0,COUNTIF(B21:B23,"X")&gt;0),B19="X",COUNTIF(B19:B23,"X")=0,AND(COUNTIF(B7:B11,"X")&gt;0,COUNTIF(Q7:Q13,"X")&gt;0,COUNTIF(B21:B23,"X")&gt;0)),"","You have to choose a coverage in the health insurance section")</f>
        <v/>
      </c>
      <c r="X19" s="695"/>
      <c r="Y19" s="695"/>
      <c r="Z19" s="695"/>
      <c r="AA19" s="695"/>
      <c r="AB19" s="695"/>
      <c r="AC19" s="308"/>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80"/>
      <c r="GS19" s="280"/>
      <c r="GT19" s="280"/>
      <c r="GU19" s="280"/>
      <c r="GV19" s="280"/>
    </row>
    <row r="20" spans="1:204" ht="4.5" customHeight="1" thickBot="1" x14ac:dyDescent="0.4">
      <c r="A20" s="303"/>
      <c r="B20" s="394"/>
      <c r="C20" s="309"/>
      <c r="D20" s="310"/>
      <c r="E20" s="310"/>
      <c r="F20" s="310"/>
      <c r="G20" s="310"/>
      <c r="H20" s="310"/>
      <c r="I20" s="310"/>
      <c r="J20" s="310"/>
      <c r="K20" s="310"/>
      <c r="L20" s="310"/>
      <c r="M20" s="684"/>
      <c r="N20" s="684"/>
      <c r="O20" s="684"/>
      <c r="P20" s="306"/>
      <c r="Q20" s="306"/>
      <c r="R20" s="311"/>
      <c r="S20" s="311"/>
      <c r="T20" s="312"/>
      <c r="U20" s="312"/>
      <c r="V20" s="306"/>
      <c r="W20" s="695"/>
      <c r="X20" s="695"/>
      <c r="Y20" s="695"/>
      <c r="Z20" s="695"/>
      <c r="AA20" s="695"/>
      <c r="AB20" s="695"/>
      <c r="AC20" s="308"/>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80"/>
      <c r="GS20" s="280"/>
      <c r="GT20" s="280"/>
      <c r="GU20" s="280"/>
      <c r="GV20" s="280"/>
    </row>
    <row r="21" spans="1:204" ht="21.75" customHeight="1" thickBot="1" x14ac:dyDescent="0.4">
      <c r="A21" s="303"/>
      <c r="B21" s="395"/>
      <c r="C21" s="309"/>
      <c r="D21" s="681" t="s">
        <v>154</v>
      </c>
      <c r="E21" s="682"/>
      <c r="F21" s="682"/>
      <c r="G21" s="682"/>
      <c r="H21" s="682"/>
      <c r="I21" s="682"/>
      <c r="J21" s="682"/>
      <c r="K21" s="682"/>
      <c r="L21" s="683"/>
      <c r="M21" s="684"/>
      <c r="N21" s="684"/>
      <c r="O21" s="684"/>
      <c r="P21" s="306"/>
      <c r="Q21" s="306"/>
      <c r="R21" s="306"/>
      <c r="S21" s="306"/>
      <c r="T21" s="312"/>
      <c r="U21" s="312"/>
      <c r="V21" s="306"/>
      <c r="W21" s="695"/>
      <c r="X21" s="695"/>
      <c r="Y21" s="695"/>
      <c r="Z21" s="695"/>
      <c r="AA21" s="695"/>
      <c r="AB21" s="695"/>
      <c r="AC21" s="308"/>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80"/>
      <c r="GS21" s="280"/>
      <c r="GT21" s="280"/>
      <c r="GU21" s="280"/>
      <c r="GV21" s="280"/>
    </row>
    <row r="22" spans="1:204" ht="4.5" customHeight="1" thickBot="1" x14ac:dyDescent="0.4">
      <c r="A22" s="303"/>
      <c r="B22" s="394"/>
      <c r="C22" s="309"/>
      <c r="D22" s="310"/>
      <c r="E22" s="310"/>
      <c r="F22" s="310"/>
      <c r="G22" s="310"/>
      <c r="H22" s="310"/>
      <c r="I22" s="310"/>
      <c r="J22" s="310"/>
      <c r="K22" s="310"/>
      <c r="L22" s="310"/>
      <c r="M22" s="684"/>
      <c r="N22" s="684"/>
      <c r="O22" s="684"/>
      <c r="P22" s="306"/>
      <c r="Q22" s="306"/>
      <c r="R22" s="306"/>
      <c r="S22" s="306"/>
      <c r="T22" s="312"/>
      <c r="U22" s="312"/>
      <c r="V22" s="306"/>
      <c r="W22" s="306"/>
      <c r="X22" s="306"/>
      <c r="Y22" s="307"/>
      <c r="Z22" s="307"/>
      <c r="AA22" s="307"/>
      <c r="AB22" s="307"/>
      <c r="AC22" s="308"/>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80"/>
      <c r="GS22" s="280"/>
      <c r="GT22" s="280"/>
      <c r="GU22" s="280"/>
      <c r="GV22" s="280"/>
    </row>
    <row r="23" spans="1:204" ht="21.75" customHeight="1" thickBot="1" x14ac:dyDescent="0.4">
      <c r="A23" s="303"/>
      <c r="B23" s="395"/>
      <c r="C23" s="309"/>
      <c r="D23" s="681" t="s">
        <v>155</v>
      </c>
      <c r="E23" s="682"/>
      <c r="F23" s="682"/>
      <c r="G23" s="682"/>
      <c r="H23" s="682"/>
      <c r="I23" s="682"/>
      <c r="J23" s="682"/>
      <c r="K23" s="682"/>
      <c r="L23" s="683"/>
      <c r="M23" s="684"/>
      <c r="N23" s="684"/>
      <c r="O23" s="684"/>
      <c r="P23" s="306"/>
      <c r="Q23" s="306"/>
      <c r="R23" s="306"/>
      <c r="S23" s="306"/>
      <c r="T23" s="312"/>
      <c r="U23" s="312"/>
      <c r="V23" s="306"/>
      <c r="W23" s="306"/>
      <c r="X23" s="306"/>
      <c r="Y23" s="307"/>
      <c r="Z23" s="307"/>
      <c r="AA23" s="313" t="s">
        <v>356</v>
      </c>
      <c r="AB23" s="440">
        <f>IF(AND(M19="",V7="",W19=""),'Taux anglais'!O11,0)</f>
        <v>0</v>
      </c>
      <c r="AC23" s="308"/>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80"/>
      <c r="GS23" s="280"/>
      <c r="GT23" s="280"/>
      <c r="GU23" s="280"/>
      <c r="GV23" s="280"/>
    </row>
    <row r="24" spans="1:204" ht="4.5" customHeight="1" thickBot="1" x14ac:dyDescent="0.4">
      <c r="A24" s="303"/>
      <c r="B24" s="309"/>
      <c r="C24" s="309"/>
      <c r="D24" s="310"/>
      <c r="E24" s="310"/>
      <c r="F24" s="310"/>
      <c r="G24" s="310"/>
      <c r="H24" s="310"/>
      <c r="I24" s="310"/>
      <c r="J24" s="310"/>
      <c r="K24" s="310"/>
      <c r="L24" s="310"/>
      <c r="M24" s="306"/>
      <c r="N24" s="306"/>
      <c r="O24" s="306"/>
      <c r="P24" s="306"/>
      <c r="Q24" s="306"/>
      <c r="R24" s="306"/>
      <c r="S24" s="306"/>
      <c r="T24" s="312"/>
      <c r="U24" s="312"/>
      <c r="V24" s="306"/>
      <c r="W24" s="306"/>
      <c r="X24" s="306"/>
      <c r="Y24" s="307"/>
      <c r="Z24" s="307"/>
      <c r="AA24" s="313"/>
      <c r="AB24" s="315"/>
      <c r="AC24" s="308"/>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80"/>
      <c r="GS24" s="280"/>
      <c r="GT24" s="280"/>
      <c r="GU24" s="280"/>
      <c r="GV24" s="280"/>
    </row>
    <row r="25" spans="1:204" ht="22.5" customHeight="1" thickBot="1" x14ac:dyDescent="0.3">
      <c r="A25" s="303"/>
      <c r="B25" s="306"/>
      <c r="C25" s="306"/>
      <c r="D25" s="680" t="str">
        <f>IF(COUNTIF(B7:B11,"X")&gt;0,"",IF(AND(B13="",COUNTIF(B21:B23,"X")&gt;0),"In order to receive only dental coverage, you must be covered by your spouse under health insurance",""))</f>
        <v/>
      </c>
      <c r="E25" s="680"/>
      <c r="F25" s="680"/>
      <c r="G25" s="680"/>
      <c r="H25" s="680"/>
      <c r="I25" s="680"/>
      <c r="J25" s="680"/>
      <c r="K25" s="680"/>
      <c r="L25" s="680"/>
      <c r="M25" s="680"/>
      <c r="N25" s="639"/>
      <c r="O25" s="639"/>
      <c r="P25" s="639"/>
      <c r="Q25" s="639"/>
      <c r="R25" s="306"/>
      <c r="S25" s="306"/>
      <c r="T25" s="306"/>
      <c r="U25" s="306"/>
      <c r="V25" s="306"/>
      <c r="W25" s="306"/>
      <c r="X25" s="306"/>
      <c r="Y25" s="307"/>
      <c r="Z25" s="307"/>
      <c r="AA25" s="313" t="s">
        <v>357</v>
      </c>
      <c r="AB25" s="314">
        <f>26*AB23</f>
        <v>0</v>
      </c>
      <c r="AC25" s="308"/>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80"/>
      <c r="GS25" s="280"/>
      <c r="GT25" s="280"/>
      <c r="GU25" s="280"/>
      <c r="GV25" s="280"/>
    </row>
    <row r="26" spans="1:204" ht="15.75" customHeight="1" x14ac:dyDescent="0.25">
      <c r="A26" s="303"/>
      <c r="B26" s="306"/>
      <c r="C26" s="306"/>
      <c r="D26" s="680"/>
      <c r="E26" s="680"/>
      <c r="F26" s="680"/>
      <c r="G26" s="680"/>
      <c r="H26" s="680"/>
      <c r="I26" s="680"/>
      <c r="J26" s="680"/>
      <c r="K26" s="680"/>
      <c r="L26" s="680"/>
      <c r="M26" s="680"/>
      <c r="N26" s="639"/>
      <c r="O26" s="639"/>
      <c r="P26" s="639"/>
      <c r="Q26" s="639"/>
      <c r="R26" s="306"/>
      <c r="S26" s="306"/>
      <c r="T26" s="306"/>
      <c r="U26" s="306"/>
      <c r="V26" s="306"/>
      <c r="W26" s="306"/>
      <c r="X26" s="306"/>
      <c r="Y26" s="307"/>
      <c r="Z26" s="307"/>
      <c r="AA26" s="313"/>
      <c r="AB26" s="578" t="str">
        <f xml:space="preserve"> IF(AB23&gt;0,"This cost doesn't include the 9 % sales tax","")</f>
        <v/>
      </c>
      <c r="AC26" s="308"/>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80"/>
      <c r="GS26" s="280"/>
      <c r="GT26" s="280"/>
      <c r="GU26" s="280"/>
      <c r="GV26" s="280"/>
    </row>
    <row r="27" spans="1:204" ht="4.5" customHeight="1" x14ac:dyDescent="0.25">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8"/>
      <c r="Z27" s="318" t="s">
        <v>187</v>
      </c>
      <c r="AA27" s="318"/>
      <c r="AB27" s="318"/>
      <c r="AC27" s="31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80"/>
      <c r="GS27" s="280"/>
      <c r="GT27" s="280"/>
      <c r="GU27" s="280"/>
      <c r="GV27" s="280"/>
    </row>
    <row r="28" spans="1:204" ht="15.75" thickBot="1" x14ac:dyDescent="0.3">
      <c r="A28" s="281"/>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320"/>
      <c r="Z28" s="320"/>
      <c r="AA28" s="320"/>
      <c r="AB28" s="320"/>
      <c r="AC28" s="284"/>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80"/>
      <c r="GS28" s="280"/>
      <c r="GT28" s="280"/>
      <c r="GU28" s="280"/>
      <c r="GV28" s="280"/>
    </row>
    <row r="29" spans="1:204" ht="21.75" customHeight="1" thickBot="1" x14ac:dyDescent="0.4">
      <c r="A29" s="285"/>
      <c r="B29" s="321" t="s">
        <v>156</v>
      </c>
      <c r="C29" s="321"/>
      <c r="D29" s="286"/>
      <c r="E29" s="286"/>
      <c r="F29" s="322"/>
      <c r="G29" s="322"/>
      <c r="H29" s="322"/>
      <c r="I29" s="322"/>
      <c r="J29" s="322"/>
      <c r="K29" s="286"/>
      <c r="L29" s="286"/>
      <c r="M29" s="286"/>
      <c r="N29" s="286"/>
      <c r="O29" s="422"/>
      <c r="P29" s="423"/>
      <c r="Q29" s="423"/>
      <c r="R29" s="423"/>
      <c r="S29" s="423"/>
      <c r="T29" s="544"/>
      <c r="U29" s="436" t="s">
        <v>373</v>
      </c>
      <c r="V29" s="405">
        <f>IF(COUNTBLANK(B34:B42)=8,'Taux anglais'!G27,0)</f>
        <v>0</v>
      </c>
      <c r="W29" s="422" t="s">
        <v>101</v>
      </c>
      <c r="X29" s="286"/>
      <c r="Y29" s="293"/>
      <c r="Z29" s="293"/>
      <c r="AA29" s="293"/>
      <c r="AB29" s="293"/>
      <c r="AC29" s="288"/>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80"/>
      <c r="GS29" s="280"/>
      <c r="GT29" s="280"/>
      <c r="GU29" s="280"/>
      <c r="GV29" s="280"/>
    </row>
    <row r="30" spans="1:204" ht="15" customHeight="1" x14ac:dyDescent="0.25">
      <c r="A30" s="285"/>
      <c r="B30" s="438" t="s">
        <v>157</v>
      </c>
      <c r="C30" s="438"/>
      <c r="D30" s="438"/>
      <c r="E30" s="438"/>
      <c r="F30" s="438"/>
      <c r="G30" s="438"/>
      <c r="H30" s="438"/>
      <c r="I30" s="438"/>
      <c r="J30" s="438"/>
      <c r="K30" s="438"/>
      <c r="L30" s="438"/>
      <c r="M30" s="438"/>
      <c r="N30" s="438"/>
      <c r="O30" s="438"/>
      <c r="P30" s="435"/>
      <c r="Q30" s="271"/>
      <c r="R30" s="271"/>
      <c r="S30" s="356"/>
      <c r="T30" s="545"/>
      <c r="U30" s="422" t="s">
        <v>101</v>
      </c>
      <c r="V30" s="286"/>
      <c r="W30" s="422" t="s">
        <v>101</v>
      </c>
      <c r="X30" s="286"/>
      <c r="Y30" s="293"/>
      <c r="Z30" s="293"/>
      <c r="AA30" s="293"/>
      <c r="AB30" s="293"/>
      <c r="AC30" s="288"/>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80"/>
      <c r="GS30" s="280"/>
      <c r="GT30" s="280"/>
      <c r="GU30" s="280"/>
      <c r="GV30" s="280"/>
    </row>
    <row r="31" spans="1:204" x14ac:dyDescent="0.25">
      <c r="A31" s="285"/>
      <c r="B31" s="323" t="s">
        <v>158</v>
      </c>
      <c r="C31" s="323"/>
      <c r="D31" s="286"/>
      <c r="E31" s="286"/>
      <c r="F31" s="286"/>
      <c r="G31" s="286"/>
      <c r="H31" s="286"/>
      <c r="I31" s="286"/>
      <c r="J31" s="286"/>
      <c r="K31" s="286"/>
      <c r="L31" s="286"/>
      <c r="M31" s="286"/>
      <c r="N31" s="286"/>
      <c r="O31" s="286"/>
      <c r="P31" s="293"/>
      <c r="Q31" s="293"/>
      <c r="R31" s="293"/>
      <c r="S31" s="293"/>
      <c r="T31" s="546"/>
      <c r="U31" s="325"/>
      <c r="V31" s="293"/>
      <c r="W31" s="422" t="s">
        <v>101</v>
      </c>
      <c r="X31" s="286"/>
      <c r="Y31" s="293"/>
      <c r="Z31" s="293"/>
      <c r="AA31" s="293"/>
      <c r="AB31" s="293"/>
      <c r="AC31" s="288"/>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80"/>
      <c r="GS31" s="280"/>
      <c r="GT31" s="280"/>
      <c r="GU31" s="280"/>
      <c r="GV31" s="280"/>
    </row>
    <row r="32" spans="1:204" ht="1.1499999999999999" customHeight="1" x14ac:dyDescent="0.25">
      <c r="A32" s="285"/>
      <c r="B32" s="422" t="s">
        <v>101</v>
      </c>
      <c r="C32" s="422" t="s">
        <v>101</v>
      </c>
      <c r="D32" s="422" t="s">
        <v>101</v>
      </c>
      <c r="E32" s="422" t="s">
        <v>101</v>
      </c>
      <c r="F32" s="422" t="s">
        <v>101</v>
      </c>
      <c r="G32" s="422" t="s">
        <v>101</v>
      </c>
      <c r="H32" s="422" t="s">
        <v>101</v>
      </c>
      <c r="I32" s="422" t="s">
        <v>101</v>
      </c>
      <c r="J32" s="422" t="s">
        <v>101</v>
      </c>
      <c r="K32" s="422" t="s">
        <v>101</v>
      </c>
      <c r="L32" s="422" t="s">
        <v>101</v>
      </c>
      <c r="M32" s="422" t="s">
        <v>101</v>
      </c>
      <c r="N32" s="422" t="s">
        <v>101</v>
      </c>
      <c r="O32" s="422" t="s">
        <v>101</v>
      </c>
      <c r="P32" s="293"/>
      <c r="Q32" s="293"/>
      <c r="R32" s="293"/>
      <c r="S32" s="293"/>
      <c r="T32" s="547"/>
      <c r="U32" s="422" t="s">
        <v>101</v>
      </c>
      <c r="V32" s="422" t="s">
        <v>101</v>
      </c>
      <c r="W32" s="422" t="s">
        <v>101</v>
      </c>
      <c r="X32" s="422" t="s">
        <v>101</v>
      </c>
      <c r="Y32" s="293"/>
      <c r="Z32" s="293"/>
      <c r="AA32" s="293"/>
      <c r="AB32" s="293"/>
      <c r="AC32" s="288"/>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c r="FW32" s="280"/>
      <c r="FX32" s="280"/>
      <c r="FY32" s="280"/>
      <c r="FZ32" s="280"/>
      <c r="GA32" s="280"/>
      <c r="GB32" s="280"/>
      <c r="GC32" s="280"/>
      <c r="GD32" s="280"/>
      <c r="GE32" s="280"/>
      <c r="GF32" s="280"/>
      <c r="GG32" s="280"/>
      <c r="GH32" s="280"/>
      <c r="GI32" s="280"/>
      <c r="GJ32" s="280"/>
      <c r="GK32" s="280"/>
      <c r="GL32" s="280"/>
      <c r="GM32" s="280"/>
      <c r="GN32" s="280"/>
      <c r="GO32" s="280"/>
      <c r="GP32" s="280"/>
      <c r="GQ32" s="280"/>
      <c r="GR32" s="280"/>
      <c r="GS32" s="280"/>
      <c r="GT32" s="280"/>
      <c r="GU32" s="280"/>
      <c r="GV32" s="280"/>
    </row>
    <row r="33" spans="1:204" ht="4.5" customHeight="1" thickBot="1" x14ac:dyDescent="0.3">
      <c r="A33" s="285"/>
      <c r="B33" s="399"/>
      <c r="C33" s="292"/>
      <c r="D33" s="323"/>
      <c r="E33" s="323"/>
      <c r="F33" s="286"/>
      <c r="G33" s="286"/>
      <c r="H33" s="286"/>
      <c r="I33" s="286"/>
      <c r="J33" s="286"/>
      <c r="K33" s="286"/>
      <c r="L33" s="286"/>
      <c r="M33" s="286"/>
      <c r="N33" s="293"/>
      <c r="O33" s="286"/>
      <c r="P33" s="293"/>
      <c r="Q33" s="293"/>
      <c r="R33" s="293"/>
      <c r="S33" s="293"/>
      <c r="T33" s="547"/>
      <c r="U33" s="293"/>
      <c r="V33" s="293"/>
      <c r="W33" s="422" t="s">
        <v>101</v>
      </c>
      <c r="X33" s="293"/>
      <c r="Y33" s="293"/>
      <c r="Z33" s="293"/>
      <c r="AA33" s="293"/>
      <c r="AB33" s="293"/>
      <c r="AC33" s="288"/>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c r="FU33" s="280"/>
      <c r="FV33" s="280"/>
      <c r="FW33" s="280"/>
      <c r="FX33" s="280"/>
      <c r="FY33" s="280"/>
      <c r="FZ33" s="280"/>
      <c r="GA33" s="280"/>
      <c r="GB33" s="280"/>
      <c r="GC33" s="280"/>
      <c r="GD33" s="280"/>
      <c r="GE33" s="280"/>
      <c r="GF33" s="280"/>
      <c r="GG33" s="280"/>
      <c r="GH33" s="280"/>
      <c r="GI33" s="280"/>
      <c r="GJ33" s="280"/>
      <c r="GK33" s="280"/>
      <c r="GL33" s="280"/>
      <c r="GM33" s="280"/>
      <c r="GN33" s="280"/>
      <c r="GO33" s="280"/>
      <c r="GP33" s="280"/>
      <c r="GQ33" s="280"/>
      <c r="GR33" s="280"/>
      <c r="GS33" s="280"/>
      <c r="GT33" s="280"/>
      <c r="GU33" s="280"/>
      <c r="GV33" s="280"/>
    </row>
    <row r="34" spans="1:204" ht="21.75" customHeight="1" thickBot="1" x14ac:dyDescent="0.3">
      <c r="A34" s="285"/>
      <c r="B34" s="395"/>
      <c r="C34" s="292"/>
      <c r="D34" s="658" t="str">
        <f>'Taux anglais'!B32</f>
        <v>From Laval University union</v>
      </c>
      <c r="E34" s="659"/>
      <c r="F34" s="659"/>
      <c r="G34" s="659"/>
      <c r="H34" s="659"/>
      <c r="I34" s="659"/>
      <c r="J34" s="659"/>
      <c r="K34" s="659"/>
      <c r="L34" s="659"/>
      <c r="M34" s="659"/>
      <c r="N34" s="660"/>
      <c r="O34" s="422" t="s">
        <v>101</v>
      </c>
      <c r="P34" s="339"/>
      <c r="Q34" s="339"/>
      <c r="R34" s="293"/>
      <c r="S34" s="293"/>
      <c r="T34" s="544"/>
      <c r="U34" s="342" t="s">
        <v>287</v>
      </c>
      <c r="V34" s="406">
        <v>92027</v>
      </c>
      <c r="W34" s="422" t="s">
        <v>101</v>
      </c>
      <c r="X34" s="293"/>
      <c r="Y34" s="293"/>
      <c r="Z34" s="293"/>
      <c r="AA34" s="293"/>
      <c r="AB34" s="293"/>
      <c r="AC34" s="288"/>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80"/>
      <c r="GS34" s="280"/>
      <c r="GT34" s="280"/>
      <c r="GU34" s="280"/>
      <c r="GV34" s="280"/>
    </row>
    <row r="35" spans="1:204" ht="4.5" customHeight="1" thickBot="1" x14ac:dyDescent="0.3">
      <c r="A35" s="285"/>
      <c r="B35" s="399"/>
      <c r="C35" s="292"/>
      <c r="D35" s="323"/>
      <c r="E35" s="323"/>
      <c r="F35" s="286"/>
      <c r="G35" s="286"/>
      <c r="H35" s="286"/>
      <c r="I35" s="286"/>
      <c r="J35" s="286"/>
      <c r="K35" s="286"/>
      <c r="L35" s="286"/>
      <c r="M35" s="286"/>
      <c r="N35" s="293"/>
      <c r="O35" s="339"/>
      <c r="P35" s="339"/>
      <c r="Q35" s="339"/>
      <c r="R35" s="293"/>
      <c r="S35" s="293"/>
      <c r="T35" s="293"/>
      <c r="U35" s="293"/>
      <c r="V35" s="293"/>
      <c r="W35" s="293"/>
      <c r="X35" s="293"/>
      <c r="Y35" s="293"/>
      <c r="Z35" s="286"/>
      <c r="AA35" s="286"/>
      <c r="AB35" s="293"/>
      <c r="AC35" s="288"/>
      <c r="AD35" s="280"/>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80"/>
      <c r="GS35" s="280"/>
      <c r="GT35" s="280"/>
      <c r="GU35" s="280"/>
      <c r="GV35" s="280"/>
    </row>
    <row r="36" spans="1:204" ht="21.75" customHeight="1" thickBot="1" x14ac:dyDescent="0.3">
      <c r="A36" s="285"/>
      <c r="B36" s="395"/>
      <c r="C36" s="292"/>
      <c r="D36" s="658" t="str">
        <f>'Taux anglais'!B33</f>
        <v>From LaSalle College union</v>
      </c>
      <c r="E36" s="659"/>
      <c r="F36" s="659"/>
      <c r="G36" s="659"/>
      <c r="H36" s="659"/>
      <c r="I36" s="659"/>
      <c r="J36" s="659"/>
      <c r="K36" s="659"/>
      <c r="L36" s="659"/>
      <c r="M36" s="659"/>
      <c r="N36" s="660"/>
      <c r="O36" s="693" t="str">
        <f>IF(COUNTBLANK(B34:B42)&lt;8,"You can't choose more than one answer",IF(COUNTBLANK(B34:B42)=9,"You have to choose an answer",""))</f>
        <v>You have to choose an answer</v>
      </c>
      <c r="P36" s="693"/>
      <c r="Q36" s="693"/>
      <c r="R36" s="339"/>
      <c r="S36" s="339"/>
      <c r="T36" s="293" t="s">
        <v>101</v>
      </c>
      <c r="U36" s="293" t="s">
        <v>101</v>
      </c>
      <c r="V36" s="293" t="s">
        <v>101</v>
      </c>
      <c r="W36" s="293" t="s">
        <v>101</v>
      </c>
      <c r="X36" s="293" t="s">
        <v>101</v>
      </c>
      <c r="Y36" s="293"/>
      <c r="Z36" s="287"/>
      <c r="AA36" s="379" t="s">
        <v>356</v>
      </c>
      <c r="AB36" s="439">
        <f>IF(O36="",ROUND(V34/1000*V29,2),0)</f>
        <v>0</v>
      </c>
      <c r="AC36" s="288"/>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80"/>
      <c r="GS36" s="280"/>
      <c r="GT36" s="280"/>
      <c r="GU36" s="280"/>
      <c r="GV36" s="280"/>
    </row>
    <row r="37" spans="1:204" ht="4.5" customHeight="1" thickBot="1" x14ac:dyDescent="0.3">
      <c r="A37" s="285"/>
      <c r="B37" s="399"/>
      <c r="C37" s="292"/>
      <c r="D37" s="323"/>
      <c r="E37" s="323"/>
      <c r="F37" s="286"/>
      <c r="G37" s="286"/>
      <c r="H37" s="286"/>
      <c r="I37" s="286"/>
      <c r="J37" s="286"/>
      <c r="K37" s="286"/>
      <c r="L37" s="286"/>
      <c r="M37" s="286"/>
      <c r="N37" s="293"/>
      <c r="O37" s="693"/>
      <c r="P37" s="693"/>
      <c r="Q37" s="693"/>
      <c r="R37" s="339"/>
      <c r="S37" s="339"/>
      <c r="T37" s="293" t="s">
        <v>101</v>
      </c>
      <c r="U37" s="293" t="s">
        <v>101</v>
      </c>
      <c r="V37" s="293" t="s">
        <v>101</v>
      </c>
      <c r="W37" s="293" t="s">
        <v>101</v>
      </c>
      <c r="X37" s="293" t="s">
        <v>101</v>
      </c>
      <c r="Y37" s="293"/>
      <c r="Z37" s="286"/>
      <c r="AA37" s="286"/>
      <c r="AB37" s="293"/>
      <c r="AC37" s="288"/>
      <c r="AD37" s="280"/>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80"/>
      <c r="GS37" s="280"/>
      <c r="GT37" s="280"/>
      <c r="GU37" s="280"/>
      <c r="GV37" s="280"/>
    </row>
    <row r="38" spans="1:204" ht="21.75" customHeight="1" thickBot="1" x14ac:dyDescent="0.3">
      <c r="A38" s="285"/>
      <c r="B38" s="395"/>
      <c r="C38" s="292"/>
      <c r="D38" s="658" t="str">
        <f>'Taux anglais'!B34</f>
        <v>From Trinité College union</v>
      </c>
      <c r="E38" s="659"/>
      <c r="F38" s="659"/>
      <c r="G38" s="659"/>
      <c r="H38" s="659"/>
      <c r="I38" s="659"/>
      <c r="J38" s="659"/>
      <c r="K38" s="659"/>
      <c r="L38" s="659"/>
      <c r="M38" s="659"/>
      <c r="N38" s="660"/>
      <c r="O38" s="693"/>
      <c r="P38" s="693"/>
      <c r="Q38" s="693"/>
      <c r="R38" s="339"/>
      <c r="S38" s="339"/>
      <c r="T38" s="293" t="s">
        <v>101</v>
      </c>
      <c r="U38" s="293" t="s">
        <v>101</v>
      </c>
      <c r="V38" s="293" t="s">
        <v>101</v>
      </c>
      <c r="W38" s="293" t="s">
        <v>101</v>
      </c>
      <c r="X38" s="293" t="s">
        <v>101</v>
      </c>
      <c r="Y38" s="293"/>
      <c r="Z38" s="293"/>
      <c r="AA38" s="379" t="s">
        <v>357</v>
      </c>
      <c r="AB38" s="439">
        <f>26*AB36</f>
        <v>0</v>
      </c>
      <c r="AC38" s="288"/>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c r="GG38" s="280"/>
      <c r="GH38" s="280"/>
      <c r="GI38" s="280"/>
      <c r="GJ38" s="280"/>
      <c r="GK38" s="280"/>
      <c r="GL38" s="280"/>
      <c r="GM38" s="280"/>
      <c r="GN38" s="280"/>
      <c r="GO38" s="280"/>
      <c r="GP38" s="280"/>
      <c r="GQ38" s="280"/>
      <c r="GR38" s="280"/>
      <c r="GS38" s="280"/>
      <c r="GT38" s="280"/>
      <c r="GU38" s="280"/>
      <c r="GV38" s="280"/>
    </row>
    <row r="39" spans="1:204" s="411" customFormat="1" ht="4.5" customHeight="1" thickBot="1" x14ac:dyDescent="0.3">
      <c r="A39" s="421"/>
      <c r="B39" s="399"/>
      <c r="C39" s="292"/>
      <c r="D39" s="418"/>
      <c r="E39" s="327"/>
      <c r="F39" s="327"/>
      <c r="G39" s="327"/>
      <c r="H39" s="327"/>
      <c r="I39" s="327"/>
      <c r="J39" s="327"/>
      <c r="K39" s="327"/>
      <c r="L39" s="327"/>
      <c r="M39" s="327"/>
      <c r="N39" s="327"/>
      <c r="O39" s="693"/>
      <c r="P39" s="693"/>
      <c r="Q39" s="693"/>
      <c r="R39" s="339"/>
      <c r="S39" s="339"/>
      <c r="T39" s="422" t="s">
        <v>101</v>
      </c>
      <c r="U39" s="422" t="s">
        <v>101</v>
      </c>
      <c r="V39" s="422" t="s">
        <v>101</v>
      </c>
      <c r="W39" s="422" t="s">
        <v>101</v>
      </c>
      <c r="X39" s="422" t="s">
        <v>101</v>
      </c>
      <c r="Y39" s="422" t="s">
        <v>101</v>
      </c>
      <c r="Z39" s="422"/>
      <c r="AA39" s="294"/>
      <c r="AB39" s="422"/>
      <c r="AC39" s="288"/>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row>
    <row r="40" spans="1:204" s="411" customFormat="1" ht="21.75" customHeight="1" thickBot="1" x14ac:dyDescent="0.3">
      <c r="A40" s="421"/>
      <c r="B40" s="420"/>
      <c r="C40" s="292"/>
      <c r="D40" s="658" t="str">
        <f>'Taux anglais'!B35</f>
        <v>From ITHQ or ITAQ</v>
      </c>
      <c r="E40" s="659"/>
      <c r="F40" s="659"/>
      <c r="G40" s="659"/>
      <c r="H40" s="659"/>
      <c r="I40" s="659"/>
      <c r="J40" s="659"/>
      <c r="K40" s="659"/>
      <c r="L40" s="659"/>
      <c r="M40" s="659"/>
      <c r="N40" s="660"/>
      <c r="O40" s="693"/>
      <c r="P40" s="693"/>
      <c r="Q40" s="693"/>
      <c r="R40" s="339"/>
      <c r="S40" s="339"/>
      <c r="T40" s="422" t="s">
        <v>101</v>
      </c>
      <c r="U40" s="422" t="s">
        <v>101</v>
      </c>
      <c r="V40" s="422" t="s">
        <v>101</v>
      </c>
      <c r="W40" s="422" t="s">
        <v>101</v>
      </c>
      <c r="X40" s="422" t="s">
        <v>101</v>
      </c>
      <c r="Y40" s="422" t="s">
        <v>101</v>
      </c>
      <c r="Z40" s="422"/>
      <c r="AA40" s="422"/>
      <c r="AB40" s="577" t="str">
        <f xml:space="preserve"> IF(AB36&gt;0,"This cost doesn't include the 9 % sales tax","")</f>
        <v/>
      </c>
      <c r="AC40" s="288"/>
      <c r="GR40" s="280"/>
      <c r="GS40" s="280"/>
      <c r="GT40" s="280"/>
      <c r="GU40" s="280"/>
      <c r="GV40" s="280"/>
    </row>
    <row r="41" spans="1:204" s="411" customFormat="1" ht="6" customHeight="1" thickBot="1" x14ac:dyDescent="0.3">
      <c r="A41" s="421"/>
      <c r="B41" s="598"/>
      <c r="C41" s="292"/>
      <c r="D41" s="598"/>
      <c r="E41" s="598"/>
      <c r="F41" s="598"/>
      <c r="G41" s="598"/>
      <c r="H41" s="598"/>
      <c r="I41" s="598"/>
      <c r="J41" s="598"/>
      <c r="K41" s="598"/>
      <c r="L41" s="598"/>
      <c r="M41" s="598"/>
      <c r="N41" s="598"/>
      <c r="O41" s="693"/>
      <c r="P41" s="693"/>
      <c r="Q41" s="693"/>
      <c r="R41" s="339"/>
      <c r="S41" s="339"/>
      <c r="T41" s="422"/>
      <c r="U41" s="422"/>
      <c r="V41" s="422"/>
      <c r="W41" s="422"/>
      <c r="X41" s="422"/>
      <c r="Y41" s="422"/>
      <c r="Z41" s="422"/>
      <c r="AA41" s="422"/>
      <c r="AB41" s="577"/>
      <c r="AC41" s="288"/>
      <c r="GR41" s="280"/>
      <c r="GS41" s="280"/>
      <c r="GT41" s="280"/>
      <c r="GU41" s="280"/>
      <c r="GV41" s="280"/>
    </row>
    <row r="42" spans="1:204" s="411" customFormat="1" ht="21.75" customHeight="1" thickBot="1" x14ac:dyDescent="0.3">
      <c r="A42" s="421"/>
      <c r="B42" s="420"/>
      <c r="C42" s="292"/>
      <c r="D42" s="658" t="str">
        <f>'Taux anglais'!B36</f>
        <v>From any other college or university</v>
      </c>
      <c r="E42" s="659"/>
      <c r="F42" s="659"/>
      <c r="G42" s="659"/>
      <c r="H42" s="659"/>
      <c r="I42" s="659"/>
      <c r="J42" s="659"/>
      <c r="K42" s="659"/>
      <c r="L42" s="659"/>
      <c r="M42" s="659"/>
      <c r="N42" s="660"/>
      <c r="O42" s="693"/>
      <c r="P42" s="693"/>
      <c r="Q42" s="693"/>
      <c r="R42" s="339"/>
      <c r="S42" s="339"/>
      <c r="T42" s="422"/>
      <c r="U42" s="422"/>
      <c r="V42" s="422"/>
      <c r="W42" s="422"/>
      <c r="X42" s="422"/>
      <c r="Y42" s="422"/>
      <c r="Z42" s="422"/>
      <c r="AA42" s="422"/>
      <c r="AB42" s="577"/>
      <c r="AC42" s="288"/>
      <c r="GR42" s="280"/>
      <c r="GS42" s="280"/>
      <c r="GT42" s="280"/>
      <c r="GU42" s="280"/>
      <c r="GV42" s="280"/>
    </row>
    <row r="43" spans="1:204" ht="4.5" customHeight="1" x14ac:dyDescent="0.25">
      <c r="A43" s="285"/>
      <c r="B43" s="399"/>
      <c r="C43" s="292"/>
      <c r="D43" s="581"/>
      <c r="E43" s="582"/>
      <c r="F43" s="582"/>
      <c r="G43" s="582"/>
      <c r="H43" s="582"/>
      <c r="I43" s="582"/>
      <c r="J43" s="582"/>
      <c r="K43" s="582"/>
      <c r="L43" s="582"/>
      <c r="M43" s="582"/>
      <c r="N43" s="582"/>
      <c r="O43" s="693"/>
      <c r="P43" s="693"/>
      <c r="Q43" s="693"/>
      <c r="R43" s="339"/>
      <c r="S43" s="339"/>
      <c r="T43" s="293" t="s">
        <v>101</v>
      </c>
      <c r="U43" s="293" t="s">
        <v>101</v>
      </c>
      <c r="V43" s="293" t="s">
        <v>101</v>
      </c>
      <c r="W43" s="293" t="s">
        <v>101</v>
      </c>
      <c r="X43" s="293" t="s">
        <v>101</v>
      </c>
      <c r="Y43" s="293" t="s">
        <v>101</v>
      </c>
      <c r="Z43" s="293"/>
      <c r="AA43" s="294"/>
      <c r="AB43" s="293"/>
      <c r="AC43" s="288"/>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c r="FU43" s="280"/>
      <c r="FV43" s="280"/>
      <c r="FW43" s="280"/>
      <c r="FX43" s="280"/>
      <c r="FY43" s="280"/>
      <c r="FZ43" s="280"/>
      <c r="GA43" s="280"/>
      <c r="GB43" s="280"/>
      <c r="GC43" s="280"/>
      <c r="GD43" s="280"/>
      <c r="GE43" s="280"/>
      <c r="GF43" s="280"/>
      <c r="GG43" s="280"/>
      <c r="GH43" s="280"/>
      <c r="GI43" s="280"/>
      <c r="GJ43" s="280"/>
      <c r="GK43" s="280"/>
      <c r="GL43" s="280"/>
      <c r="GM43" s="280"/>
      <c r="GN43" s="280"/>
      <c r="GO43" s="280"/>
      <c r="GP43" s="280"/>
      <c r="GQ43" s="280"/>
      <c r="GR43" s="280"/>
      <c r="GS43" s="280"/>
      <c r="GT43" s="280"/>
      <c r="GU43" s="280"/>
      <c r="GV43" s="280"/>
    </row>
    <row r="44" spans="1:204" ht="7.5" customHeight="1" x14ac:dyDescent="0.25">
      <c r="A44" s="326"/>
      <c r="B44" s="327"/>
      <c r="C44" s="327"/>
      <c r="D44" s="327"/>
      <c r="E44" s="327"/>
      <c r="F44" s="327"/>
      <c r="G44" s="327"/>
      <c r="H44" s="327"/>
      <c r="I44" s="327"/>
      <c r="J44" s="327"/>
      <c r="K44" s="327"/>
      <c r="L44" s="327"/>
      <c r="M44" s="327"/>
      <c r="N44" s="327"/>
      <c r="O44" s="327"/>
      <c r="P44" s="327"/>
      <c r="Q44" s="327"/>
      <c r="R44" s="327"/>
      <c r="S44" s="327"/>
      <c r="T44" s="327"/>
      <c r="U44" s="328"/>
      <c r="V44" s="328"/>
      <c r="W44" s="328"/>
      <c r="X44" s="328"/>
      <c r="Y44" s="328"/>
      <c r="Z44" s="328"/>
      <c r="AA44" s="328"/>
      <c r="AB44" s="328"/>
      <c r="AC44" s="32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80"/>
      <c r="GS44" s="280"/>
      <c r="GT44" s="280"/>
      <c r="GU44" s="280"/>
      <c r="GV44" s="280"/>
    </row>
    <row r="45" spans="1:204" ht="21.75" thickBot="1" x14ac:dyDescent="0.4">
      <c r="A45" s="298"/>
      <c r="B45" s="380" t="s">
        <v>161</v>
      </c>
      <c r="C45" s="299"/>
      <c r="D45" s="300"/>
      <c r="E45" s="300"/>
      <c r="F45" s="330"/>
      <c r="G45" s="330"/>
      <c r="H45" s="330"/>
      <c r="I45" s="330"/>
      <c r="J45" s="330"/>
      <c r="K45" s="300"/>
      <c r="L45" s="300"/>
      <c r="M45" s="300"/>
      <c r="N45" s="300"/>
      <c r="O45" s="300"/>
      <c r="P45" s="301"/>
      <c r="Q45" s="301"/>
      <c r="R45" s="301"/>
      <c r="S45" s="301"/>
      <c r="T45" s="301"/>
      <c r="U45" s="300"/>
      <c r="V45" s="300"/>
      <c r="W45" s="300"/>
      <c r="X45" s="300"/>
      <c r="Y45" s="300"/>
      <c r="Z45" s="301"/>
      <c r="AA45" s="301"/>
      <c r="AB45" s="301"/>
      <c r="AC45" s="302"/>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80"/>
      <c r="GS45" s="280"/>
      <c r="GT45" s="280"/>
      <c r="GU45" s="280"/>
      <c r="GV45" s="280"/>
    </row>
    <row r="46" spans="1:204" ht="21.75" customHeight="1" thickBot="1" x14ac:dyDescent="0.4">
      <c r="A46" s="303"/>
      <c r="B46" s="407" t="s">
        <v>343</v>
      </c>
      <c r="C46" s="304"/>
      <c r="D46" s="306"/>
      <c r="E46" s="306"/>
      <c r="F46" s="331"/>
      <c r="G46" s="331"/>
      <c r="H46" s="331"/>
      <c r="I46" s="331"/>
      <c r="J46" s="331"/>
      <c r="K46" s="306"/>
      <c r="L46" s="306"/>
      <c r="M46" s="306"/>
      <c r="N46" s="434"/>
      <c r="O46" s="434"/>
      <c r="P46" s="434"/>
      <c r="Q46" s="434"/>
      <c r="R46" s="434"/>
      <c r="S46" s="434"/>
      <c r="T46" s="306"/>
      <c r="U46" s="434" t="s">
        <v>373</v>
      </c>
      <c r="V46" s="500">
        <f>'Taux anglais'!I33</f>
        <v>0</v>
      </c>
      <c r="W46" s="306"/>
      <c r="X46" s="306"/>
      <c r="Y46" s="306"/>
      <c r="Z46" s="307"/>
      <c r="AA46" s="307"/>
      <c r="AB46" s="307"/>
      <c r="AC46" s="308"/>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79"/>
      <c r="FU46" s="279"/>
      <c r="FV46" s="279"/>
      <c r="FW46" s="279"/>
      <c r="FX46" s="279"/>
      <c r="FY46" s="279"/>
      <c r="FZ46" s="279"/>
      <c r="GA46" s="279"/>
      <c r="GB46" s="279"/>
      <c r="GC46" s="279"/>
      <c r="GD46" s="279"/>
      <c r="GE46" s="279"/>
      <c r="GF46" s="279"/>
      <c r="GG46" s="279"/>
      <c r="GH46" s="279"/>
      <c r="GI46" s="279"/>
      <c r="GJ46" s="279"/>
      <c r="GK46" s="279"/>
      <c r="GL46" s="279"/>
      <c r="GM46" s="279"/>
      <c r="GN46" s="279"/>
      <c r="GO46" s="279"/>
      <c r="GP46" s="279"/>
      <c r="GQ46" s="279"/>
      <c r="GR46" s="280"/>
      <c r="GS46" s="280"/>
      <c r="GT46" s="280"/>
      <c r="GU46" s="280"/>
      <c r="GV46" s="280"/>
    </row>
    <row r="47" spans="1:204" ht="21.75" customHeight="1" thickBot="1" x14ac:dyDescent="0.3">
      <c r="A47" s="303"/>
      <c r="B47" s="395"/>
      <c r="C47" s="306"/>
      <c r="D47" s="672" t="s">
        <v>162</v>
      </c>
      <c r="E47" s="673"/>
      <c r="F47" s="664" t="str">
        <f>IF(COUNTBLANK(B47:B49)&lt;2,"You can't choose more than one answer",IF(COUNTBLANK(B47:B49)=3,"You have to choose an answer",""))</f>
        <v>You have to choose an answer</v>
      </c>
      <c r="G47" s="664"/>
      <c r="H47" s="664"/>
      <c r="I47" s="664"/>
      <c r="J47" s="664"/>
      <c r="K47" s="664"/>
      <c r="L47" s="306"/>
      <c r="M47" s="306"/>
      <c r="N47" s="306"/>
      <c r="O47" s="306"/>
      <c r="P47" s="376"/>
      <c r="Q47" s="376"/>
      <c r="R47" s="376"/>
      <c r="S47" s="376"/>
      <c r="T47" s="306"/>
      <c r="U47" s="306"/>
      <c r="V47" s="333"/>
      <c r="W47" s="306"/>
      <c r="X47" s="306"/>
      <c r="Y47" s="307"/>
      <c r="Z47" s="307"/>
      <c r="AA47" s="307"/>
      <c r="AB47" s="307"/>
      <c r="AC47" s="308"/>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79"/>
      <c r="GQ47" s="279"/>
      <c r="GR47" s="280"/>
      <c r="GS47" s="280"/>
      <c r="GT47" s="280"/>
      <c r="GU47" s="280"/>
      <c r="GV47" s="280"/>
    </row>
    <row r="48" spans="1:204" ht="4.5" customHeight="1" thickBot="1" x14ac:dyDescent="0.3">
      <c r="A48" s="303"/>
      <c r="B48" s="400"/>
      <c r="C48" s="306"/>
      <c r="D48" s="410"/>
      <c r="E48" s="410"/>
      <c r="F48" s="664"/>
      <c r="G48" s="664"/>
      <c r="H48" s="664"/>
      <c r="I48" s="664"/>
      <c r="J48" s="664"/>
      <c r="K48" s="664"/>
      <c r="L48" s="306"/>
      <c r="M48" s="306"/>
      <c r="N48" s="306"/>
      <c r="O48" s="306"/>
      <c r="P48" s="306"/>
      <c r="Q48" s="306"/>
      <c r="R48" s="306"/>
      <c r="S48" s="306"/>
      <c r="T48" s="306"/>
      <c r="U48" s="306"/>
      <c r="V48" s="333"/>
      <c r="W48" s="306"/>
      <c r="X48" s="306"/>
      <c r="Y48" s="307"/>
      <c r="Z48" s="307"/>
      <c r="AA48" s="307"/>
      <c r="AB48" s="307"/>
      <c r="AC48" s="308"/>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G48" s="279"/>
      <c r="FH48" s="279"/>
      <c r="FI48" s="279"/>
      <c r="FJ48" s="279"/>
      <c r="FK48" s="279"/>
      <c r="FL48" s="279"/>
      <c r="FM48" s="279"/>
      <c r="FN48" s="279"/>
      <c r="FO48" s="279"/>
      <c r="FP48" s="279"/>
      <c r="FQ48" s="279"/>
      <c r="FR48" s="279"/>
      <c r="FS48" s="279"/>
      <c r="FT48" s="279"/>
      <c r="FU48" s="279"/>
      <c r="FV48" s="279"/>
      <c r="FW48" s="279"/>
      <c r="FX48" s="279"/>
      <c r="FY48" s="279"/>
      <c r="FZ48" s="279"/>
      <c r="GA48" s="279"/>
      <c r="GB48" s="279"/>
      <c r="GC48" s="279"/>
      <c r="GD48" s="279"/>
      <c r="GE48" s="279"/>
      <c r="GF48" s="279"/>
      <c r="GG48" s="279"/>
      <c r="GH48" s="279"/>
      <c r="GI48" s="279"/>
      <c r="GJ48" s="279"/>
      <c r="GK48" s="279"/>
      <c r="GL48" s="279"/>
      <c r="GM48" s="279"/>
      <c r="GN48" s="279"/>
      <c r="GO48" s="279"/>
      <c r="GP48" s="279"/>
      <c r="GQ48" s="279"/>
      <c r="GR48" s="280"/>
      <c r="GS48" s="280"/>
      <c r="GT48" s="280"/>
      <c r="GU48" s="280"/>
      <c r="GV48" s="280"/>
    </row>
    <row r="49" spans="1:204" ht="21.75" customHeight="1" thickBot="1" x14ac:dyDescent="0.3">
      <c r="A49" s="303"/>
      <c r="B49" s="395"/>
      <c r="C49" s="306"/>
      <c r="D49" s="672" t="s">
        <v>163</v>
      </c>
      <c r="E49" s="673"/>
      <c r="F49" s="664"/>
      <c r="G49" s="664"/>
      <c r="H49" s="664"/>
      <c r="I49" s="664"/>
      <c r="J49" s="664"/>
      <c r="K49" s="664"/>
      <c r="L49" s="306"/>
      <c r="M49" s="306"/>
      <c r="N49" s="306"/>
      <c r="O49" s="313"/>
      <c r="P49" s="313"/>
      <c r="Q49" s="313"/>
      <c r="R49" s="306"/>
      <c r="S49" s="306"/>
      <c r="T49" s="306"/>
      <c r="U49" s="313" t="s">
        <v>364</v>
      </c>
      <c r="V49" s="404">
        <f>V34</f>
        <v>92027</v>
      </c>
      <c r="W49" s="306"/>
      <c r="X49" s="306"/>
      <c r="Y49" s="307"/>
      <c r="Z49" s="307"/>
      <c r="AA49" s="313" t="s">
        <v>356</v>
      </c>
      <c r="AB49" s="491">
        <f>IF(F47="",ROUND(V49/1000*V46,2),0)</f>
        <v>0</v>
      </c>
      <c r="AC49" s="308"/>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G49" s="279"/>
      <c r="FH49" s="279"/>
      <c r="FI49" s="279"/>
      <c r="FJ49" s="279"/>
      <c r="FK49" s="279"/>
      <c r="FL49" s="279"/>
      <c r="FM49" s="279"/>
      <c r="FN49" s="279"/>
      <c r="FO49" s="279"/>
      <c r="FP49" s="279"/>
      <c r="FQ49" s="279"/>
      <c r="FR49" s="279"/>
      <c r="FS49" s="279"/>
      <c r="FT49" s="279"/>
      <c r="FU49" s="279"/>
      <c r="FV49" s="279"/>
      <c r="FW49" s="279"/>
      <c r="FX49" s="279"/>
      <c r="FY49" s="279"/>
      <c r="FZ49" s="279"/>
      <c r="GA49" s="279"/>
      <c r="GB49" s="279"/>
      <c r="GC49" s="279"/>
      <c r="GD49" s="279"/>
      <c r="GE49" s="279"/>
      <c r="GF49" s="279"/>
      <c r="GG49" s="279"/>
      <c r="GH49" s="279"/>
      <c r="GI49" s="279"/>
      <c r="GJ49" s="279"/>
      <c r="GK49" s="279"/>
      <c r="GL49" s="279"/>
      <c r="GM49" s="279"/>
      <c r="GN49" s="279"/>
      <c r="GO49" s="279"/>
      <c r="GP49" s="279"/>
      <c r="GQ49" s="279"/>
      <c r="GR49" s="280"/>
      <c r="GS49" s="280"/>
      <c r="GT49" s="280"/>
      <c r="GU49" s="280"/>
      <c r="GV49" s="280"/>
    </row>
    <row r="50" spans="1:204" ht="15.75" thickBot="1" x14ac:dyDescent="0.3">
      <c r="A50" s="303"/>
      <c r="B50" s="729" t="s">
        <v>164</v>
      </c>
      <c r="C50" s="729"/>
      <c r="D50" s="729"/>
      <c r="E50" s="729"/>
      <c r="F50" s="729"/>
      <c r="G50" s="729"/>
      <c r="H50" s="729"/>
      <c r="I50" s="729"/>
      <c r="J50" s="729"/>
      <c r="K50" s="729"/>
      <c r="L50" s="729"/>
      <c r="M50" s="729"/>
      <c r="N50" s="729"/>
      <c r="O50" s="729"/>
      <c r="P50" s="729"/>
      <c r="Q50" s="729"/>
      <c r="R50" s="306"/>
      <c r="S50" s="306"/>
      <c r="T50" s="306"/>
      <c r="U50" s="306"/>
      <c r="V50" s="333"/>
      <c r="W50" s="306"/>
      <c r="X50" s="306"/>
      <c r="Y50" s="307"/>
      <c r="Z50" s="307"/>
      <c r="AA50" s="313"/>
      <c r="AB50" s="307"/>
      <c r="AC50" s="308"/>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c r="EA50" s="279"/>
      <c r="EB50" s="279"/>
      <c r="EC50" s="279"/>
      <c r="ED50" s="279"/>
      <c r="EE50" s="279"/>
      <c r="EF50" s="279"/>
      <c r="EG50" s="279"/>
      <c r="EH50" s="279"/>
      <c r="EI50" s="279"/>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G50" s="279"/>
      <c r="FH50" s="279"/>
      <c r="FI50" s="279"/>
      <c r="FJ50" s="279"/>
      <c r="FK50" s="279"/>
      <c r="FL50" s="279"/>
      <c r="FM50" s="279"/>
      <c r="FN50" s="279"/>
      <c r="FO50" s="279"/>
      <c r="FP50" s="279"/>
      <c r="FQ50" s="279"/>
      <c r="FR50" s="279"/>
      <c r="FS50" s="279"/>
      <c r="FT50" s="279"/>
      <c r="FU50" s="279"/>
      <c r="FV50" s="279"/>
      <c r="FW50" s="279"/>
      <c r="FX50" s="279"/>
      <c r="FY50" s="279"/>
      <c r="FZ50" s="279"/>
      <c r="GA50" s="279"/>
      <c r="GB50" s="279"/>
      <c r="GC50" s="279"/>
      <c r="GD50" s="279"/>
      <c r="GE50" s="279"/>
      <c r="GF50" s="279"/>
      <c r="GG50" s="279"/>
      <c r="GH50" s="279"/>
      <c r="GI50" s="279"/>
      <c r="GJ50" s="279"/>
      <c r="GK50" s="279"/>
      <c r="GL50" s="279"/>
      <c r="GM50" s="279"/>
      <c r="GN50" s="279"/>
      <c r="GO50" s="279"/>
      <c r="GP50" s="279"/>
      <c r="GQ50" s="279"/>
      <c r="GR50" s="280"/>
      <c r="GS50" s="280"/>
      <c r="GT50" s="280"/>
      <c r="GU50" s="280"/>
      <c r="GV50" s="280"/>
    </row>
    <row r="51" spans="1:204" ht="21.75" customHeight="1" thickBot="1" x14ac:dyDescent="0.3">
      <c r="A51" s="303"/>
      <c r="B51" s="729"/>
      <c r="C51" s="729"/>
      <c r="D51" s="729"/>
      <c r="E51" s="729"/>
      <c r="F51" s="729"/>
      <c r="G51" s="729"/>
      <c r="H51" s="729"/>
      <c r="I51" s="729"/>
      <c r="J51" s="729"/>
      <c r="K51" s="729"/>
      <c r="L51" s="729"/>
      <c r="M51" s="729"/>
      <c r="N51" s="729"/>
      <c r="O51" s="729"/>
      <c r="P51" s="729"/>
      <c r="Q51" s="729"/>
      <c r="R51" s="334"/>
      <c r="S51" s="334"/>
      <c r="T51" s="334"/>
      <c r="U51" s="306"/>
      <c r="V51" s="335"/>
      <c r="W51" s="335"/>
      <c r="X51" s="306"/>
      <c r="Y51" s="307"/>
      <c r="Z51" s="307"/>
      <c r="AA51" s="313" t="s">
        <v>357</v>
      </c>
      <c r="AB51" s="491">
        <f>26*AB49</f>
        <v>0</v>
      </c>
      <c r="AC51" s="308"/>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G51" s="279"/>
      <c r="FH51" s="279"/>
      <c r="FI51" s="279"/>
      <c r="FJ51" s="279"/>
      <c r="FK51" s="279"/>
      <c r="FL51" s="279"/>
      <c r="FM51" s="279"/>
      <c r="FN51" s="279"/>
      <c r="FO51" s="279"/>
      <c r="FP51" s="279"/>
      <c r="FQ51" s="279"/>
      <c r="FR51" s="279"/>
      <c r="FS51" s="279"/>
      <c r="FT51" s="27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79"/>
      <c r="GQ51" s="279"/>
      <c r="GR51" s="280"/>
      <c r="GS51" s="280"/>
      <c r="GT51" s="280"/>
      <c r="GU51" s="280"/>
      <c r="GV51" s="280"/>
    </row>
    <row r="52" spans="1:204" ht="21.75" customHeight="1" x14ac:dyDescent="0.25">
      <c r="A52" s="316"/>
      <c r="B52" s="728" t="s">
        <v>165</v>
      </c>
      <c r="C52" s="728"/>
      <c r="D52" s="728"/>
      <c r="E52" s="728"/>
      <c r="F52" s="728"/>
      <c r="G52" s="728"/>
      <c r="H52" s="728"/>
      <c r="I52" s="728"/>
      <c r="J52" s="728"/>
      <c r="K52" s="728"/>
      <c r="L52" s="728"/>
      <c r="M52" s="728"/>
      <c r="N52" s="728"/>
      <c r="O52" s="728"/>
      <c r="P52" s="728"/>
      <c r="Q52" s="728"/>
      <c r="R52" s="317"/>
      <c r="S52" s="317"/>
      <c r="T52" s="317"/>
      <c r="U52" s="317"/>
      <c r="V52" s="317"/>
      <c r="W52" s="317"/>
      <c r="X52" s="317"/>
      <c r="Y52" s="318"/>
      <c r="Z52" s="318"/>
      <c r="AA52" s="313"/>
      <c r="AB52" s="578" t="str">
        <f xml:space="preserve"> IF(AB49&gt;0,"This cost takes into account a 50 % premium reduction but does not include the 9 % sales tax","")</f>
        <v/>
      </c>
      <c r="AC52" s="31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c r="DM52" s="279"/>
      <c r="DN52" s="279"/>
      <c r="DO52" s="279"/>
      <c r="DP52" s="279"/>
      <c r="DQ52" s="279"/>
      <c r="DR52" s="279"/>
      <c r="DS52" s="279"/>
      <c r="DT52" s="279"/>
      <c r="DU52" s="279"/>
      <c r="DV52" s="279"/>
      <c r="DW52" s="279"/>
      <c r="DX52" s="279"/>
      <c r="DY52" s="279"/>
      <c r="DZ52" s="279"/>
      <c r="EA52" s="279"/>
      <c r="EB52" s="279"/>
      <c r="EC52" s="279"/>
      <c r="ED52" s="279"/>
      <c r="EE52" s="279"/>
      <c r="EF52" s="279"/>
      <c r="EG52" s="279"/>
      <c r="EH52" s="279"/>
      <c r="EI52" s="279"/>
      <c r="EJ52" s="279"/>
      <c r="EK52" s="279"/>
      <c r="EL52" s="279"/>
      <c r="EM52" s="279"/>
      <c r="EN52" s="279"/>
      <c r="EO52" s="279"/>
      <c r="EP52" s="279"/>
      <c r="EQ52" s="279"/>
      <c r="ER52" s="279"/>
      <c r="ES52" s="279"/>
      <c r="ET52" s="279"/>
      <c r="EU52" s="279"/>
      <c r="EV52" s="279"/>
      <c r="EW52" s="279"/>
      <c r="EX52" s="279"/>
      <c r="EY52" s="279"/>
      <c r="EZ52" s="279"/>
      <c r="FA52" s="279"/>
      <c r="FB52" s="279"/>
      <c r="FC52" s="279"/>
      <c r="FD52" s="279"/>
      <c r="FE52" s="279"/>
      <c r="FF52" s="279"/>
      <c r="FG52" s="279"/>
      <c r="FH52" s="279"/>
      <c r="FI52" s="279"/>
      <c r="FJ52" s="279"/>
      <c r="FK52" s="279"/>
      <c r="FL52" s="279"/>
      <c r="FM52" s="279"/>
      <c r="FN52" s="279"/>
      <c r="FO52" s="279"/>
      <c r="FP52" s="279"/>
      <c r="FQ52" s="279"/>
      <c r="FR52" s="279"/>
      <c r="FS52" s="279"/>
      <c r="FT52" s="279"/>
      <c r="FU52" s="279"/>
      <c r="FV52" s="279"/>
      <c r="FW52" s="279"/>
      <c r="FX52" s="279"/>
      <c r="FY52" s="279"/>
      <c r="FZ52" s="279"/>
      <c r="GA52" s="279"/>
      <c r="GB52" s="279"/>
      <c r="GC52" s="279"/>
      <c r="GD52" s="279"/>
      <c r="GE52" s="279"/>
      <c r="GF52" s="279"/>
      <c r="GG52" s="279"/>
      <c r="GH52" s="279"/>
      <c r="GI52" s="279"/>
      <c r="GJ52" s="279"/>
      <c r="GK52" s="279"/>
      <c r="GL52" s="279"/>
      <c r="GM52" s="279"/>
      <c r="GN52" s="279"/>
      <c r="GO52" s="279"/>
      <c r="GP52" s="279"/>
      <c r="GQ52" s="279"/>
      <c r="GR52" s="280"/>
      <c r="GS52" s="280"/>
      <c r="GT52" s="280"/>
      <c r="GU52" s="280"/>
      <c r="GV52" s="280"/>
    </row>
    <row r="53" spans="1:204" x14ac:dyDescent="0.25">
      <c r="A53" s="281"/>
      <c r="B53" s="336"/>
      <c r="C53" s="336"/>
      <c r="D53" s="336"/>
      <c r="E53" s="336"/>
      <c r="F53" s="336"/>
      <c r="G53" s="336"/>
      <c r="H53" s="336"/>
      <c r="I53" s="336"/>
      <c r="J53" s="336"/>
      <c r="K53" s="336"/>
      <c r="L53" s="336"/>
      <c r="M53" s="336"/>
      <c r="N53" s="336"/>
      <c r="O53" s="336"/>
      <c r="P53" s="336"/>
      <c r="Q53" s="336"/>
      <c r="R53" s="283"/>
      <c r="S53" s="283"/>
      <c r="T53" s="283"/>
      <c r="U53" s="283"/>
      <c r="V53" s="283"/>
      <c r="W53" s="283"/>
      <c r="X53" s="283"/>
      <c r="Y53" s="320"/>
      <c r="Z53" s="320"/>
      <c r="AA53" s="320"/>
      <c r="AB53" s="320"/>
      <c r="AC53" s="284"/>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c r="EB53" s="279"/>
      <c r="EC53" s="279"/>
      <c r="ED53" s="279"/>
      <c r="EE53" s="279"/>
      <c r="EF53" s="279"/>
      <c r="EG53" s="279"/>
      <c r="EH53" s="279"/>
      <c r="EI53" s="279"/>
      <c r="EJ53" s="279"/>
      <c r="EK53" s="279"/>
      <c r="EL53" s="279"/>
      <c r="EM53" s="279"/>
      <c r="EN53" s="279"/>
      <c r="EO53" s="279"/>
      <c r="EP53" s="279"/>
      <c r="EQ53" s="279"/>
      <c r="ER53" s="279"/>
      <c r="ES53" s="279"/>
      <c r="ET53" s="279"/>
      <c r="EU53" s="279"/>
      <c r="EV53" s="279"/>
      <c r="EW53" s="279"/>
      <c r="EX53" s="279"/>
      <c r="EY53" s="279"/>
      <c r="EZ53" s="279"/>
      <c r="FA53" s="279"/>
      <c r="FB53" s="279"/>
      <c r="FC53" s="279"/>
      <c r="FD53" s="279"/>
      <c r="FE53" s="279"/>
      <c r="FF53" s="279"/>
      <c r="FG53" s="279"/>
      <c r="FH53" s="279"/>
      <c r="FI53" s="279"/>
      <c r="FJ53" s="279"/>
      <c r="FK53" s="279"/>
      <c r="FL53" s="279"/>
      <c r="FM53" s="279"/>
      <c r="FN53" s="279"/>
      <c r="FO53" s="279"/>
      <c r="FP53" s="279"/>
      <c r="FQ53" s="279"/>
      <c r="FR53" s="279"/>
      <c r="FS53" s="279"/>
      <c r="FT53" s="279"/>
      <c r="FU53" s="279"/>
      <c r="FV53" s="279"/>
      <c r="FW53" s="279"/>
      <c r="FX53" s="279"/>
      <c r="FY53" s="279"/>
      <c r="FZ53" s="279"/>
      <c r="GA53" s="279"/>
      <c r="GB53" s="279"/>
      <c r="GC53" s="279"/>
      <c r="GD53" s="279"/>
      <c r="GE53" s="279"/>
      <c r="GF53" s="279"/>
      <c r="GG53" s="279"/>
      <c r="GH53" s="279"/>
      <c r="GI53" s="279"/>
      <c r="GJ53" s="279"/>
      <c r="GK53" s="279"/>
      <c r="GL53" s="279"/>
      <c r="GM53" s="279"/>
      <c r="GN53" s="279"/>
      <c r="GO53" s="279"/>
      <c r="GP53" s="279"/>
      <c r="GQ53" s="279"/>
      <c r="GR53" s="280"/>
      <c r="GS53" s="280"/>
      <c r="GT53" s="280"/>
      <c r="GU53" s="280"/>
      <c r="GV53" s="280"/>
    </row>
    <row r="54" spans="1:204" ht="21" x14ac:dyDescent="0.35">
      <c r="A54" s="285"/>
      <c r="B54" s="382" t="s">
        <v>166</v>
      </c>
      <c r="C54" s="321"/>
      <c r="D54" s="286"/>
      <c r="E54" s="286"/>
      <c r="F54" s="286"/>
      <c r="G54" s="286"/>
      <c r="H54" s="286"/>
      <c r="I54" s="286"/>
      <c r="J54" s="286"/>
      <c r="K54" s="286"/>
      <c r="L54" s="286"/>
      <c r="M54" s="286"/>
      <c r="N54" s="291"/>
      <c r="O54" s="291"/>
      <c r="P54" s="291"/>
      <c r="Q54" s="291"/>
      <c r="R54" s="291"/>
      <c r="S54" s="323" t="s">
        <v>167</v>
      </c>
      <c r="T54" s="293"/>
      <c r="U54" s="293"/>
      <c r="V54" s="293"/>
      <c r="W54" s="293"/>
      <c r="X54" s="293"/>
      <c r="Y54" s="293"/>
      <c r="Z54" s="293"/>
      <c r="AA54" s="293"/>
      <c r="AB54" s="293"/>
      <c r="AC54" s="288"/>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c r="FU54" s="280"/>
      <c r="FV54" s="280"/>
      <c r="FW54" s="280"/>
      <c r="FX54" s="280"/>
      <c r="FY54" s="280"/>
      <c r="FZ54" s="280"/>
      <c r="GA54" s="280"/>
      <c r="GB54" s="280"/>
      <c r="GC54" s="280"/>
      <c r="GD54" s="280"/>
      <c r="GE54" s="280"/>
      <c r="GF54" s="280"/>
      <c r="GG54" s="280"/>
      <c r="GH54" s="280"/>
      <c r="GI54" s="280"/>
      <c r="GJ54" s="280"/>
      <c r="GK54" s="280"/>
      <c r="GL54" s="280"/>
      <c r="GM54" s="280"/>
      <c r="GN54" s="280"/>
      <c r="GO54" s="280"/>
      <c r="GP54" s="280"/>
      <c r="GQ54" s="280"/>
      <c r="GR54" s="280"/>
      <c r="GS54" s="280"/>
      <c r="GT54" s="280"/>
      <c r="GU54" s="280"/>
      <c r="GV54" s="280"/>
    </row>
    <row r="55" spans="1:204" ht="4.5" customHeight="1" thickBot="1" x14ac:dyDescent="0.4">
      <c r="A55" s="285"/>
      <c r="B55" s="429"/>
      <c r="C55" s="321"/>
      <c r="D55" s="286"/>
      <c r="E55" s="286"/>
      <c r="F55" s="286"/>
      <c r="G55" s="286"/>
      <c r="H55" s="286"/>
      <c r="I55" s="286"/>
      <c r="J55" s="286"/>
      <c r="K55" s="286"/>
      <c r="L55" s="286"/>
      <c r="M55" s="286"/>
      <c r="N55" s="291"/>
      <c r="O55" s="291"/>
      <c r="P55" s="291"/>
      <c r="Q55" s="291"/>
      <c r="R55" s="291"/>
      <c r="S55" s="293"/>
      <c r="T55" s="293"/>
      <c r="U55" s="293"/>
      <c r="V55" s="286"/>
      <c r="W55" s="286"/>
      <c r="X55" s="286"/>
      <c r="Y55" s="286"/>
      <c r="Z55" s="293"/>
      <c r="AA55" s="293"/>
      <c r="AB55" s="293"/>
      <c r="AC55" s="288"/>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c r="FU55" s="280"/>
      <c r="FV55" s="280"/>
      <c r="FW55" s="280"/>
      <c r="FX55" s="280"/>
      <c r="FY55" s="280"/>
      <c r="FZ55" s="280"/>
      <c r="GA55" s="280"/>
      <c r="GB55" s="280"/>
      <c r="GC55" s="280"/>
      <c r="GD55" s="280"/>
      <c r="GE55" s="280"/>
      <c r="GF55" s="280"/>
      <c r="GG55" s="280"/>
      <c r="GH55" s="280"/>
      <c r="GI55" s="280"/>
      <c r="GJ55" s="280"/>
      <c r="GK55" s="280"/>
      <c r="GL55" s="280"/>
      <c r="GM55" s="280"/>
      <c r="GN55" s="280"/>
      <c r="GO55" s="280"/>
      <c r="GP55" s="280"/>
      <c r="GQ55" s="280"/>
      <c r="GR55" s="280"/>
      <c r="GS55" s="280"/>
      <c r="GT55" s="280"/>
      <c r="GU55" s="280"/>
      <c r="GV55" s="280"/>
    </row>
    <row r="56" spans="1:204" ht="21.75" customHeight="1" thickBot="1" x14ac:dyDescent="0.3">
      <c r="A56" s="285"/>
      <c r="B56" s="383" t="s">
        <v>168</v>
      </c>
      <c r="C56" s="338"/>
      <c r="D56" s="286"/>
      <c r="E56" s="286"/>
      <c r="F56" s="286"/>
      <c r="G56" s="286"/>
      <c r="H56" s="286"/>
      <c r="I56" s="286"/>
      <c r="J56" s="286"/>
      <c r="K56" s="286"/>
      <c r="L56" s="286"/>
      <c r="M56" s="286"/>
      <c r="N56" s="291"/>
      <c r="O56" s="291"/>
      <c r="P56" s="291"/>
      <c r="Q56" s="395"/>
      <c r="R56" s="286"/>
      <c r="S56" s="658" t="str">
        <f>IF('Taux anglais'!R19='Taux anglais'!R15,'Taux anglais'!N18,IF('Taux anglais'!R19='Taux anglais'!R16,'Taux anglais'!N17,'Taux anglais'!N16))</f>
        <v>One time the annual salary</v>
      </c>
      <c r="T56" s="659"/>
      <c r="U56" s="659"/>
      <c r="V56" s="660"/>
      <c r="W56" s="656" t="str">
        <f>IF(COUNTBLANK(Q56:Q58)&lt;2,"You can't choose more than one answer",IF(COUNTBLANK(Q56:Q58)=3,"You have to choose an answer",""))</f>
        <v/>
      </c>
      <c r="X56" s="656"/>
      <c r="Y56" s="339"/>
      <c r="Z56" s="293"/>
      <c r="AA56" s="293"/>
      <c r="AB56" s="293"/>
      <c r="AC56" s="288"/>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c r="FU56" s="280"/>
      <c r="FV56" s="280"/>
      <c r="FW56" s="280"/>
      <c r="FX56" s="280"/>
      <c r="FY56" s="280"/>
      <c r="FZ56" s="280"/>
      <c r="GA56" s="280"/>
      <c r="GB56" s="280"/>
      <c r="GC56" s="280"/>
      <c r="GD56" s="280"/>
      <c r="GE56" s="280"/>
      <c r="GF56" s="280"/>
      <c r="GG56" s="280"/>
      <c r="GH56" s="280"/>
      <c r="GI56" s="280"/>
      <c r="GJ56" s="280"/>
      <c r="GK56" s="280"/>
      <c r="GL56" s="280"/>
      <c r="GM56" s="280"/>
      <c r="GN56" s="280"/>
      <c r="GO56" s="280"/>
      <c r="GP56" s="280"/>
      <c r="GQ56" s="280"/>
      <c r="GR56" s="280"/>
      <c r="GS56" s="280"/>
      <c r="GT56" s="280"/>
      <c r="GU56" s="280"/>
      <c r="GV56" s="280"/>
    </row>
    <row r="57" spans="1:204" ht="4.5" customHeight="1" thickBot="1" x14ac:dyDescent="0.3">
      <c r="A57" s="285"/>
      <c r="B57" s="338"/>
      <c r="C57" s="338"/>
      <c r="D57" s="286"/>
      <c r="E57" s="286"/>
      <c r="F57" s="286"/>
      <c r="G57" s="286"/>
      <c r="H57" s="286"/>
      <c r="I57" s="286"/>
      <c r="J57" s="286"/>
      <c r="K57" s="286"/>
      <c r="L57" s="286"/>
      <c r="M57" s="286"/>
      <c r="N57" s="291"/>
      <c r="O57" s="291"/>
      <c r="P57" s="291"/>
      <c r="Q57" s="291"/>
      <c r="R57" s="291"/>
      <c r="S57" s="291"/>
      <c r="T57" s="291"/>
      <c r="U57" s="291"/>
      <c r="V57" s="291"/>
      <c r="W57" s="656"/>
      <c r="X57" s="656"/>
      <c r="Y57" s="339"/>
      <c r="Z57" s="293"/>
      <c r="AA57" s="293"/>
      <c r="AB57" s="293"/>
      <c r="AC57" s="288"/>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row>
    <row r="58" spans="1:204" ht="21.75" customHeight="1" thickBot="1" x14ac:dyDescent="0.3">
      <c r="A58" s="285"/>
      <c r="B58" s="408" t="s">
        <v>344</v>
      </c>
      <c r="C58" s="338"/>
      <c r="D58" s="286"/>
      <c r="E58" s="286"/>
      <c r="F58" s="286"/>
      <c r="G58" s="286"/>
      <c r="H58" s="286"/>
      <c r="I58" s="286"/>
      <c r="J58" s="286"/>
      <c r="K58" s="286"/>
      <c r="L58" s="286"/>
      <c r="M58" s="286"/>
      <c r="N58" s="286"/>
      <c r="O58" s="286"/>
      <c r="P58" s="286"/>
      <c r="Q58" s="395" t="s">
        <v>336</v>
      </c>
      <c r="R58" s="286"/>
      <c r="S58" s="658" t="str">
        <f>IF('Taux anglais'!R19='Taux anglais'!R15,'Taux anglais'!N19,IF('Taux anglais'!R19='Taux anglais'!R16,'Taux anglais'!N18,'Taux anglais'!N16))</f>
        <v>Two times the annual salary</v>
      </c>
      <c r="T58" s="659"/>
      <c r="U58" s="659"/>
      <c r="V58" s="660"/>
      <c r="W58" s="656"/>
      <c r="X58" s="656"/>
      <c r="Y58" s="339"/>
      <c r="Z58" s="293"/>
      <c r="AA58" s="293"/>
      <c r="AB58" s="293"/>
      <c r="AC58" s="288"/>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row>
    <row r="59" spans="1:204" ht="3.75" customHeight="1" thickBot="1" x14ac:dyDescent="0.3">
      <c r="A59" s="285"/>
      <c r="B59" s="338"/>
      <c r="C59" s="338"/>
      <c r="D59" s="286"/>
      <c r="E59" s="286"/>
      <c r="F59" s="286"/>
      <c r="G59" s="286"/>
      <c r="H59" s="286"/>
      <c r="I59" s="286"/>
      <c r="J59" s="286"/>
      <c r="K59" s="286"/>
      <c r="L59" s="286"/>
      <c r="M59" s="286"/>
      <c r="N59" s="286"/>
      <c r="O59" s="286"/>
      <c r="P59" s="286"/>
      <c r="Q59" s="340"/>
      <c r="R59" s="341"/>
      <c r="S59" s="341"/>
      <c r="T59" s="286"/>
      <c r="U59" s="286"/>
      <c r="V59" s="293"/>
      <c r="W59" s="293"/>
      <c r="X59" s="286"/>
      <c r="Y59" s="293"/>
      <c r="Z59" s="293"/>
      <c r="AA59" s="293"/>
      <c r="AB59" s="287"/>
      <c r="AC59" s="288"/>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row>
    <row r="60" spans="1:204" ht="21.75" customHeight="1" thickBot="1" x14ac:dyDescent="0.3">
      <c r="A60" s="285"/>
      <c r="B60" s="395" t="s">
        <v>336</v>
      </c>
      <c r="C60" s="293"/>
      <c r="D60" s="661" t="s">
        <v>162</v>
      </c>
      <c r="E60" s="663"/>
      <c r="F60" s="656" t="str">
        <f>IF(COUNTBLANK(B60:B62)&lt;2,"You can't choose more than one answer",IF(COUNTBLANK(B60:B62)=3,"You have to choose an answer",""))</f>
        <v/>
      </c>
      <c r="G60" s="656"/>
      <c r="H60" s="656"/>
      <c r="I60" s="339"/>
      <c r="J60" s="339"/>
      <c r="K60" s="339"/>
      <c r="L60" s="286"/>
      <c r="M60" s="286"/>
      <c r="N60" s="286"/>
      <c r="O60" s="286"/>
      <c r="P60" s="286"/>
      <c r="Q60" s="340"/>
      <c r="R60" s="340"/>
      <c r="S60" s="422"/>
      <c r="T60" s="340"/>
      <c r="U60" s="342" t="s">
        <v>365</v>
      </c>
      <c r="V60" s="268">
        <f>V49</f>
        <v>92027</v>
      </c>
      <c r="W60" s="656" t="str">
        <f>IF(V60&lt;75000,"Lowest annuel Basic Life insurable salary is 75 000$ ","")</f>
        <v/>
      </c>
      <c r="X60" s="286"/>
      <c r="Y60" s="293"/>
      <c r="Z60" s="293"/>
      <c r="AA60" s="342"/>
      <c r="AB60" s="287"/>
      <c r="AC60" s="288"/>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c r="FU60" s="280"/>
      <c r="FV60" s="280"/>
      <c r="FW60" s="280"/>
      <c r="FX60" s="280"/>
      <c r="FY60" s="280"/>
      <c r="FZ60" s="280"/>
      <c r="GA60" s="280"/>
      <c r="GB60" s="280"/>
      <c r="GC60" s="280"/>
      <c r="GD60" s="280"/>
      <c r="GE60" s="280"/>
      <c r="GF60" s="280"/>
      <c r="GG60" s="280"/>
      <c r="GH60" s="280"/>
      <c r="GI60" s="280"/>
      <c r="GJ60" s="280"/>
      <c r="GK60" s="280"/>
      <c r="GL60" s="280"/>
      <c r="GM60" s="280"/>
      <c r="GN60" s="280"/>
      <c r="GO60" s="280"/>
      <c r="GP60" s="280"/>
      <c r="GQ60" s="280"/>
      <c r="GR60" s="280"/>
      <c r="GS60" s="280"/>
      <c r="GT60" s="280"/>
      <c r="GU60" s="280"/>
      <c r="GV60" s="280"/>
    </row>
    <row r="61" spans="1:204" ht="4.5" customHeight="1" thickBot="1" x14ac:dyDescent="0.3">
      <c r="A61" s="285"/>
      <c r="B61" s="401"/>
      <c r="C61" s="293"/>
      <c r="D61" s="398"/>
      <c r="E61" s="409"/>
      <c r="F61" s="656"/>
      <c r="G61" s="656"/>
      <c r="H61" s="656"/>
      <c r="I61" s="339"/>
      <c r="J61" s="339"/>
      <c r="K61" s="339"/>
      <c r="L61" s="286"/>
      <c r="M61" s="286"/>
      <c r="N61" s="286"/>
      <c r="O61" s="286"/>
      <c r="P61" s="286"/>
      <c r="Q61" s="340"/>
      <c r="R61" s="340"/>
      <c r="S61" s="422"/>
      <c r="T61" s="340"/>
      <c r="U61" s="343"/>
      <c r="V61" s="344"/>
      <c r="W61" s="656"/>
      <c r="X61" s="286"/>
      <c r="Y61" s="293"/>
      <c r="Z61" s="293"/>
      <c r="AA61" s="294"/>
      <c r="AB61" s="287"/>
      <c r="AC61" s="288"/>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c r="FU61" s="280"/>
      <c r="FV61" s="280"/>
      <c r="FW61" s="280"/>
      <c r="FX61" s="280"/>
      <c r="FY61" s="280"/>
      <c r="FZ61" s="280"/>
      <c r="GA61" s="280"/>
      <c r="GB61" s="280"/>
      <c r="GC61" s="280"/>
      <c r="GD61" s="280"/>
      <c r="GE61" s="280"/>
      <c r="GF61" s="280"/>
      <c r="GG61" s="280"/>
      <c r="GH61" s="280"/>
      <c r="GI61" s="280"/>
      <c r="GJ61" s="280"/>
      <c r="GK61" s="280"/>
      <c r="GL61" s="280"/>
      <c r="GM61" s="280"/>
      <c r="GN61" s="280"/>
      <c r="GO61" s="280"/>
      <c r="GP61" s="280"/>
      <c r="GQ61" s="280"/>
      <c r="GR61" s="280"/>
      <c r="GS61" s="280"/>
      <c r="GT61" s="280"/>
      <c r="GU61" s="280"/>
      <c r="GV61" s="280"/>
    </row>
    <row r="62" spans="1:204" ht="21.75" customHeight="1" thickBot="1" x14ac:dyDescent="0.3">
      <c r="A62" s="285"/>
      <c r="B62" s="395"/>
      <c r="C62" s="293"/>
      <c r="D62" s="661" t="s">
        <v>163</v>
      </c>
      <c r="E62" s="663"/>
      <c r="F62" s="656"/>
      <c r="G62" s="656"/>
      <c r="H62" s="656"/>
      <c r="I62" s="339"/>
      <c r="J62" s="339"/>
      <c r="K62" s="339"/>
      <c r="L62" s="286"/>
      <c r="M62" s="286"/>
      <c r="N62" s="286"/>
      <c r="O62" s="286"/>
      <c r="P62" s="286"/>
      <c r="Q62" s="340"/>
      <c r="R62" s="340"/>
      <c r="S62" s="422"/>
      <c r="T62" s="340"/>
      <c r="U62" s="343" t="s">
        <v>366</v>
      </c>
      <c r="V62" s="499">
        <f>'Taux anglais'!Q18</f>
        <v>184000</v>
      </c>
      <c r="W62" s="656"/>
      <c r="X62" s="286"/>
      <c r="Y62" s="293"/>
      <c r="Z62" s="501"/>
      <c r="AA62" s="501"/>
      <c r="AB62" s="501"/>
      <c r="AC62" s="288"/>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280"/>
      <c r="GF62" s="280"/>
      <c r="GG62" s="280"/>
      <c r="GH62" s="280"/>
      <c r="GI62" s="280"/>
      <c r="GJ62" s="280"/>
      <c r="GK62" s="280"/>
      <c r="GL62" s="280"/>
      <c r="GM62" s="280"/>
      <c r="GN62" s="280"/>
      <c r="GO62" s="280"/>
      <c r="GP62" s="280"/>
      <c r="GQ62" s="280"/>
      <c r="GR62" s="280"/>
      <c r="GS62" s="280"/>
      <c r="GT62" s="280"/>
      <c r="GU62" s="280"/>
      <c r="GV62" s="280"/>
    </row>
    <row r="63" spans="1:204" ht="3.75" customHeight="1" x14ac:dyDescent="0.25">
      <c r="A63" s="285"/>
      <c r="B63" s="337"/>
      <c r="C63" s="293"/>
      <c r="D63" s="290"/>
      <c r="E63" s="286"/>
      <c r="F63" s="286"/>
      <c r="G63" s="286"/>
      <c r="H63" s="286"/>
      <c r="I63" s="286"/>
      <c r="J63" s="286"/>
      <c r="K63" s="286"/>
      <c r="L63" s="286"/>
      <c r="M63" s="286"/>
      <c r="N63" s="286"/>
      <c r="O63" s="286"/>
      <c r="P63" s="286"/>
      <c r="Q63" s="340"/>
      <c r="R63" s="340"/>
      <c r="S63" s="422"/>
      <c r="T63" s="345"/>
      <c r="U63" s="286"/>
      <c r="V63" s="343"/>
      <c r="W63" s="656"/>
      <c r="X63" s="286"/>
      <c r="Y63" s="293"/>
      <c r="Z63" s="501"/>
      <c r="AA63" s="501"/>
      <c r="AB63" s="501"/>
      <c r="AC63" s="288"/>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280"/>
      <c r="GF63" s="280"/>
      <c r="GG63" s="280"/>
      <c r="GH63" s="280"/>
      <c r="GI63" s="280"/>
      <c r="GJ63" s="280"/>
      <c r="GK63" s="280"/>
      <c r="GL63" s="280"/>
      <c r="GM63" s="280"/>
      <c r="GN63" s="280"/>
      <c r="GO63" s="280"/>
      <c r="GP63" s="280"/>
      <c r="GQ63" s="280"/>
      <c r="GR63" s="280"/>
      <c r="GS63" s="280"/>
      <c r="GT63" s="280"/>
      <c r="GU63" s="280"/>
      <c r="GV63" s="280"/>
    </row>
    <row r="64" spans="1:204" ht="16.5" thickBot="1" x14ac:dyDescent="0.3">
      <c r="A64" s="285"/>
      <c r="B64" s="422"/>
      <c r="C64" s="293"/>
      <c r="D64" s="286"/>
      <c r="E64" s="286"/>
      <c r="F64" s="286"/>
      <c r="G64" s="549" t="s">
        <v>171</v>
      </c>
      <c r="H64" s="286"/>
      <c r="I64" s="286"/>
      <c r="J64" s="286"/>
      <c r="K64" s="293"/>
      <c r="L64" s="293"/>
      <c r="M64" s="293"/>
      <c r="N64" s="293"/>
      <c r="O64" s="293"/>
      <c r="P64" s="293"/>
      <c r="Q64" s="293"/>
      <c r="R64" s="286"/>
      <c r="S64" s="286"/>
      <c r="T64" s="286"/>
      <c r="U64" s="286"/>
      <c r="V64" s="343"/>
      <c r="W64" s="656"/>
      <c r="X64" s="343"/>
      <c r="Y64" s="293"/>
      <c r="Z64" s="501"/>
      <c r="AA64" s="501"/>
      <c r="AB64" s="501"/>
      <c r="AC64" s="288"/>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280"/>
      <c r="GF64" s="280"/>
      <c r="GG64" s="280"/>
      <c r="GH64" s="280"/>
      <c r="GI64" s="280"/>
      <c r="GJ64" s="280"/>
      <c r="GK64" s="280"/>
      <c r="GL64" s="280"/>
      <c r="GM64" s="280"/>
      <c r="GN64" s="280"/>
      <c r="GO64" s="280"/>
      <c r="GP64" s="280"/>
      <c r="GQ64" s="280"/>
      <c r="GR64" s="280"/>
      <c r="GS64" s="280"/>
      <c r="GT64" s="280"/>
      <c r="GU64" s="280"/>
      <c r="GV64" s="280"/>
    </row>
    <row r="65" spans="1:204" ht="21.75" customHeight="1" thickBot="1" x14ac:dyDescent="0.3">
      <c r="A65" s="285"/>
      <c r="B65" s="429"/>
      <c r="C65" s="346"/>
      <c r="D65" s="661" t="str">
        <f>'Taux anglais'!R19</f>
        <v>Under age 65</v>
      </c>
      <c r="E65" s="662"/>
      <c r="F65" s="662"/>
      <c r="G65" s="662"/>
      <c r="H65" s="662"/>
      <c r="I65" s="662"/>
      <c r="J65" s="662"/>
      <c r="K65" s="663"/>
      <c r="L65" s="339"/>
      <c r="M65" s="341"/>
      <c r="N65" s="341"/>
      <c r="O65" s="341"/>
      <c r="P65" s="341"/>
      <c r="Q65" s="341"/>
      <c r="R65" s="341"/>
      <c r="S65" s="341"/>
      <c r="T65" s="345"/>
      <c r="U65" s="286"/>
      <c r="V65" s="343"/>
      <c r="W65" s="343"/>
      <c r="X65" s="343"/>
      <c r="Y65" s="343"/>
      <c r="Z65" s="287"/>
      <c r="AA65" s="379" t="s">
        <v>356</v>
      </c>
      <c r="AB65" s="439">
        <f>IF(AND(F60="",W56=""),ROUND(V67*V62/1000,2)+V69,0)</f>
        <v>6.0650000000000004</v>
      </c>
      <c r="AC65" s="288"/>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c r="FU65" s="280"/>
      <c r="FV65" s="280"/>
      <c r="FW65" s="280"/>
      <c r="FX65" s="280"/>
      <c r="FY65" s="280"/>
      <c r="FZ65" s="280"/>
      <c r="GA65" s="280"/>
      <c r="GB65" s="280"/>
      <c r="GC65" s="280"/>
      <c r="GD65" s="280"/>
      <c r="GE65" s="280"/>
      <c r="GF65" s="280"/>
      <c r="GG65" s="280"/>
      <c r="GH65" s="280"/>
      <c r="GI65" s="280"/>
      <c r="GJ65" s="280"/>
      <c r="GK65" s="280"/>
      <c r="GL65" s="280"/>
      <c r="GM65" s="280"/>
      <c r="GN65" s="280"/>
      <c r="GO65" s="280"/>
      <c r="GP65" s="280"/>
      <c r="GQ65" s="280"/>
      <c r="GR65" s="280"/>
      <c r="GS65" s="280"/>
      <c r="GT65" s="280"/>
      <c r="GU65" s="280"/>
      <c r="GV65" s="280"/>
    </row>
    <row r="66" spans="1:204" ht="4.5" customHeight="1" thickBot="1" x14ac:dyDescent="0.3">
      <c r="A66" s="285"/>
      <c r="B66" s="396"/>
      <c r="C66" s="342"/>
      <c r="D66" s="286"/>
      <c r="E66" s="286"/>
      <c r="F66" s="286"/>
      <c r="G66" s="286"/>
      <c r="H66" s="286"/>
      <c r="I66" s="286"/>
      <c r="J66" s="286"/>
      <c r="K66" s="286"/>
      <c r="L66" s="339"/>
      <c r="M66" s="286"/>
      <c r="N66" s="286"/>
      <c r="O66" s="286"/>
      <c r="P66" s="286"/>
      <c r="Q66" s="286"/>
      <c r="R66" s="286"/>
      <c r="S66" s="286"/>
      <c r="T66" s="286"/>
      <c r="U66" s="347" t="s">
        <v>187</v>
      </c>
      <c r="V66" s="348"/>
      <c r="W66" s="286"/>
      <c r="X66" s="286"/>
      <c r="Y66" s="293"/>
      <c r="Z66" s="429"/>
      <c r="AA66" s="429"/>
      <c r="AB66" s="422"/>
      <c r="AC66" s="288"/>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row>
    <row r="67" spans="1:204" ht="21.75" customHeight="1" thickBot="1" x14ac:dyDescent="0.3">
      <c r="A67" s="285"/>
      <c r="B67" s="429"/>
      <c r="C67" s="429"/>
      <c r="D67" s="429"/>
      <c r="E67" s="429"/>
      <c r="F67" s="429"/>
      <c r="G67" s="429"/>
      <c r="H67" s="429"/>
      <c r="I67" s="429"/>
      <c r="J67" s="429"/>
      <c r="K67" s="429"/>
      <c r="L67" s="339"/>
      <c r="M67" s="341"/>
      <c r="N67" s="433"/>
      <c r="O67" s="433"/>
      <c r="P67" s="433"/>
      <c r="Q67" s="433"/>
      <c r="R67" s="433"/>
      <c r="S67" s="433"/>
      <c r="T67" s="341"/>
      <c r="U67" s="433" t="s">
        <v>374</v>
      </c>
      <c r="V67" s="446">
        <f>'Taux anglais'!L20</f>
        <v>2.8400000000000002E-2</v>
      </c>
      <c r="W67" s="343"/>
      <c r="X67" s="343"/>
      <c r="Y67" s="343"/>
      <c r="Z67" s="422"/>
      <c r="AA67" s="379" t="s">
        <v>357</v>
      </c>
      <c r="AB67" s="439">
        <f>26*AB65</f>
        <v>157.69</v>
      </c>
      <c r="AC67" s="288"/>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row>
    <row r="68" spans="1:204" ht="4.5" customHeight="1" thickBot="1" x14ac:dyDescent="0.3">
      <c r="A68" s="285"/>
      <c r="B68" s="429"/>
      <c r="C68" s="429"/>
      <c r="D68" s="429"/>
      <c r="E68" s="429"/>
      <c r="F68" s="429"/>
      <c r="G68" s="429"/>
      <c r="H68" s="429"/>
      <c r="I68" s="429"/>
      <c r="J68" s="429"/>
      <c r="K68" s="429"/>
      <c r="L68" s="339"/>
      <c r="M68" s="286"/>
      <c r="N68" s="286"/>
      <c r="O68" s="286"/>
      <c r="P68" s="286"/>
      <c r="Q68" s="286"/>
      <c r="R68" s="286"/>
      <c r="S68" s="286"/>
      <c r="T68" s="341"/>
      <c r="U68" s="286"/>
      <c r="V68" s="286"/>
      <c r="W68" s="286"/>
      <c r="X68" s="286"/>
      <c r="Y68" s="293"/>
      <c r="Z68" s="501"/>
      <c r="AA68" s="294"/>
      <c r="AB68" s="343"/>
      <c r="AC68" s="288"/>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row>
    <row r="69" spans="1:204" ht="21.75" customHeight="1" thickBot="1" x14ac:dyDescent="0.3">
      <c r="A69" s="285"/>
      <c r="B69" s="429"/>
      <c r="C69" s="429"/>
      <c r="D69" s="429"/>
      <c r="E69" s="429"/>
      <c r="F69" s="429"/>
      <c r="G69" s="429"/>
      <c r="H69" s="429"/>
      <c r="I69" s="429"/>
      <c r="J69" s="429"/>
      <c r="K69" s="429"/>
      <c r="L69" s="339"/>
      <c r="M69" s="341"/>
      <c r="N69" s="437"/>
      <c r="O69" s="437"/>
      <c r="P69" s="437"/>
      <c r="Q69" s="437"/>
      <c r="R69" s="437"/>
      <c r="S69" s="437"/>
      <c r="T69" s="341"/>
      <c r="U69" s="436" t="s">
        <v>367</v>
      </c>
      <c r="V69" s="447">
        <f>IF('Taux anglais'!L18='Taux anglais'!L15,'Nouveau taux'!M6,0)</f>
        <v>0.83499999999999996</v>
      </c>
      <c r="W69" s="343"/>
      <c r="X69" s="343"/>
      <c r="Y69" s="343"/>
      <c r="Z69" s="422"/>
      <c r="AA69" s="501"/>
      <c r="AB69" s="576" t="str">
        <f xml:space="preserve"> IF(AB65&gt;0,"This cost takes into account a 50 % premium reduction but does not include the 9 % sales tax","")</f>
        <v>This cost takes into account a 50 % premium reduction but does not include the 9 % sales tax</v>
      </c>
      <c r="AC69" s="288"/>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row>
    <row r="70" spans="1:204" ht="4.5" customHeight="1" x14ac:dyDescent="0.25">
      <c r="A70" s="326"/>
      <c r="B70" s="349" t="s">
        <v>104</v>
      </c>
      <c r="C70" s="349"/>
      <c r="D70" s="327"/>
      <c r="E70" s="327"/>
      <c r="F70" s="327"/>
      <c r="G70" s="327"/>
      <c r="H70" s="327"/>
      <c r="I70" s="327"/>
      <c r="J70" s="327"/>
      <c r="K70" s="327"/>
      <c r="L70" s="327"/>
      <c r="M70" s="327"/>
      <c r="N70" s="327"/>
      <c r="O70" s="327"/>
      <c r="P70" s="327"/>
      <c r="Q70" s="327"/>
      <c r="R70" s="327"/>
      <c r="S70" s="327"/>
      <c r="T70" s="327"/>
      <c r="U70" s="327"/>
      <c r="V70" s="327"/>
      <c r="W70" s="327"/>
      <c r="X70" s="327"/>
      <c r="Y70" s="328"/>
      <c r="Z70" s="328"/>
      <c r="AA70" s="328"/>
      <c r="AB70" s="328"/>
      <c r="AC70" s="329"/>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c r="FU70" s="280"/>
      <c r="FV70" s="280"/>
      <c r="FW70" s="280"/>
      <c r="FX70" s="280"/>
      <c r="FY70" s="280"/>
      <c r="FZ70" s="280"/>
      <c r="GA70" s="280"/>
      <c r="GB70" s="280"/>
      <c r="GC70" s="280"/>
      <c r="GD70" s="280"/>
      <c r="GE70" s="280"/>
      <c r="GF70" s="280"/>
      <c r="GG70" s="280"/>
      <c r="GH70" s="280"/>
      <c r="GI70" s="280"/>
      <c r="GJ70" s="280"/>
      <c r="GK70" s="280"/>
      <c r="GL70" s="280"/>
      <c r="GM70" s="280"/>
      <c r="GN70" s="280"/>
      <c r="GO70" s="280"/>
      <c r="GP70" s="280"/>
      <c r="GQ70" s="280"/>
      <c r="GR70" s="280"/>
      <c r="GS70" s="280"/>
      <c r="GT70" s="280"/>
      <c r="GU70" s="280"/>
      <c r="GV70" s="280"/>
    </row>
    <row r="71" spans="1:204" ht="21" x14ac:dyDescent="0.35">
      <c r="A71" s="298"/>
      <c r="B71" s="384" t="s">
        <v>172</v>
      </c>
      <c r="C71" s="304"/>
      <c r="D71" s="306"/>
      <c r="E71" s="306"/>
      <c r="F71" s="306"/>
      <c r="G71" s="306"/>
      <c r="H71" s="306"/>
      <c r="I71" s="306"/>
      <c r="J71" s="306"/>
      <c r="K71" s="306"/>
      <c r="L71" s="306"/>
      <c r="M71" s="306"/>
      <c r="N71" s="306"/>
      <c r="O71" s="306"/>
      <c r="P71" s="306"/>
      <c r="Q71" s="306"/>
      <c r="R71" s="306"/>
      <c r="S71" s="306"/>
      <c r="T71" s="306"/>
      <c r="U71" s="306"/>
      <c r="V71" s="350"/>
      <c r="W71" s="306"/>
      <c r="X71" s="306"/>
      <c r="Y71" s="301"/>
      <c r="Z71" s="307"/>
      <c r="AA71" s="307"/>
      <c r="AB71" s="307"/>
      <c r="AC71" s="308"/>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c r="FU71" s="280"/>
      <c r="FV71" s="280"/>
      <c r="FW71" s="280"/>
      <c r="FX71" s="280"/>
      <c r="FY71" s="280"/>
      <c r="FZ71" s="280"/>
      <c r="GA71" s="280"/>
      <c r="GB71" s="280"/>
      <c r="GC71" s="280"/>
      <c r="GD71" s="280"/>
      <c r="GE71" s="280"/>
      <c r="GF71" s="280"/>
      <c r="GG71" s="280"/>
      <c r="GH71" s="280"/>
      <c r="GI71" s="280"/>
      <c r="GJ71" s="280"/>
      <c r="GK71" s="280"/>
      <c r="GL71" s="280"/>
      <c r="GM71" s="280"/>
      <c r="GN71" s="280"/>
      <c r="GO71" s="280"/>
      <c r="GP71" s="280"/>
      <c r="GQ71" s="280"/>
      <c r="GR71" s="280"/>
      <c r="GS71" s="280"/>
      <c r="GT71" s="280"/>
      <c r="GU71" s="280"/>
      <c r="GV71" s="280"/>
    </row>
    <row r="72" spans="1:204" ht="21.75" thickBot="1" x14ac:dyDescent="0.4">
      <c r="A72" s="303"/>
      <c r="B72" s="407" t="s">
        <v>342</v>
      </c>
      <c r="C72" s="309"/>
      <c r="D72" s="381"/>
      <c r="E72" s="306"/>
      <c r="F72" s="306"/>
      <c r="G72" s="306"/>
      <c r="H72" s="306"/>
      <c r="I72" s="306"/>
      <c r="J72" s="306"/>
      <c r="K72" s="306"/>
      <c r="L72" s="306"/>
      <c r="M72" s="306"/>
      <c r="N72" s="306"/>
      <c r="O72" s="306"/>
      <c r="P72" s="306"/>
      <c r="Q72" s="306"/>
      <c r="R72" s="306"/>
      <c r="S72" s="306"/>
      <c r="T72" s="306"/>
      <c r="U72" s="306"/>
      <c r="V72" s="350"/>
      <c r="W72" s="306"/>
      <c r="X72" s="306"/>
      <c r="Y72" s="307"/>
      <c r="Z72" s="307"/>
      <c r="AA72" s="307"/>
      <c r="AB72" s="307"/>
      <c r="AC72" s="308"/>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G72" s="280"/>
      <c r="FH72" s="280"/>
      <c r="FI72" s="280"/>
      <c r="FJ72" s="280"/>
      <c r="FK72" s="280"/>
      <c r="FL72" s="280"/>
      <c r="FM72" s="280"/>
      <c r="FN72" s="280"/>
      <c r="FO72" s="280"/>
      <c r="FP72" s="280"/>
      <c r="FQ72" s="280"/>
      <c r="FR72" s="280"/>
      <c r="FS72" s="280"/>
      <c r="FT72" s="280"/>
      <c r="FU72" s="280"/>
      <c r="FV72" s="280"/>
      <c r="FW72" s="280"/>
      <c r="FX72" s="280"/>
      <c r="FY72" s="280"/>
      <c r="FZ72" s="280"/>
      <c r="GA72" s="280"/>
      <c r="GB72" s="280"/>
      <c r="GC72" s="280"/>
      <c r="GD72" s="280"/>
      <c r="GE72" s="280"/>
      <c r="GF72" s="280"/>
      <c r="GG72" s="280"/>
      <c r="GH72" s="280"/>
      <c r="GI72" s="280"/>
      <c r="GJ72" s="280"/>
      <c r="GK72" s="280"/>
      <c r="GL72" s="280"/>
      <c r="GM72" s="280"/>
      <c r="GN72" s="280"/>
      <c r="GO72" s="280"/>
      <c r="GP72" s="280"/>
      <c r="GQ72" s="280"/>
      <c r="GR72" s="280"/>
      <c r="GS72" s="280"/>
      <c r="GT72" s="280"/>
      <c r="GU72" s="280"/>
      <c r="GV72" s="280"/>
    </row>
    <row r="73" spans="1:204" ht="21.75" customHeight="1" thickBot="1" x14ac:dyDescent="0.3">
      <c r="A73" s="303"/>
      <c r="B73" s="395" t="s">
        <v>336</v>
      </c>
      <c r="C73" s="306"/>
      <c r="D73" s="672" t="s">
        <v>162</v>
      </c>
      <c r="E73" s="673"/>
      <c r="F73" s="664" t="str">
        <f>IF(COUNTBLANK(B73:B75)&lt;2,"You can't choose more than one answer",IF(COUNTBLANK(B73:B75)=3,"You have to choose an answer",""))</f>
        <v/>
      </c>
      <c r="G73" s="664"/>
      <c r="H73" s="664"/>
      <c r="I73" s="664"/>
      <c r="J73" s="664"/>
      <c r="K73" s="664"/>
      <c r="L73" s="306"/>
      <c r="M73" s="306"/>
      <c r="N73" s="306"/>
      <c r="O73" s="306"/>
      <c r="P73" s="306"/>
      <c r="Q73" s="350"/>
      <c r="R73" s="306"/>
      <c r="S73" s="306"/>
      <c r="T73" s="332"/>
      <c r="U73" s="306"/>
      <c r="V73" s="333"/>
      <c r="W73" s="306"/>
      <c r="X73" s="306"/>
      <c r="Y73" s="307"/>
      <c r="Z73" s="307"/>
      <c r="AA73" s="313" t="s">
        <v>356</v>
      </c>
      <c r="AB73" s="491">
        <f>IF(F73="",'Taux anglais'!L30,0)</f>
        <v>0.29499999999999998</v>
      </c>
      <c r="AC73" s="308"/>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79"/>
      <c r="ET73" s="279"/>
      <c r="EU73" s="279"/>
      <c r="EV73" s="279"/>
      <c r="EW73" s="279"/>
      <c r="EX73" s="279"/>
      <c r="EY73" s="279"/>
      <c r="EZ73" s="279"/>
      <c r="FA73" s="279"/>
      <c r="FB73" s="279"/>
      <c r="FC73" s="279"/>
      <c r="FD73" s="279"/>
      <c r="FE73" s="279"/>
      <c r="FF73" s="279"/>
      <c r="FG73" s="279"/>
      <c r="FH73" s="279"/>
      <c r="FI73" s="279"/>
      <c r="FJ73" s="279"/>
      <c r="FK73" s="279"/>
      <c r="FL73" s="279"/>
      <c r="FM73" s="279"/>
      <c r="FN73" s="279"/>
      <c r="FO73" s="279"/>
      <c r="FP73" s="279"/>
      <c r="FQ73" s="279"/>
      <c r="FR73" s="279"/>
      <c r="FS73" s="279"/>
      <c r="FT73" s="279"/>
      <c r="FU73" s="279"/>
      <c r="FV73" s="279"/>
      <c r="FW73" s="279"/>
      <c r="FX73" s="279"/>
      <c r="FY73" s="279"/>
      <c r="FZ73" s="279"/>
      <c r="GA73" s="279"/>
      <c r="GB73" s="279"/>
      <c r="GC73" s="279"/>
      <c r="GD73" s="279"/>
      <c r="GE73" s="279"/>
      <c r="GF73" s="279"/>
      <c r="GG73" s="279"/>
      <c r="GH73" s="279"/>
      <c r="GI73" s="279"/>
      <c r="GJ73" s="279"/>
      <c r="GK73" s="279"/>
      <c r="GL73" s="279"/>
      <c r="GM73" s="279"/>
      <c r="GN73" s="279"/>
      <c r="GO73" s="279"/>
      <c r="GP73" s="279"/>
      <c r="GQ73" s="279"/>
      <c r="GR73" s="280"/>
      <c r="GS73" s="280"/>
      <c r="GT73" s="280"/>
      <c r="GU73" s="280"/>
      <c r="GV73" s="280"/>
    </row>
    <row r="74" spans="1:204" ht="4.5" customHeight="1" thickBot="1" x14ac:dyDescent="0.3">
      <c r="A74" s="303"/>
      <c r="B74" s="400"/>
      <c r="C74" s="306"/>
      <c r="D74" s="410"/>
      <c r="E74" s="410"/>
      <c r="F74" s="664"/>
      <c r="G74" s="664"/>
      <c r="H74" s="664"/>
      <c r="I74" s="664"/>
      <c r="J74" s="664"/>
      <c r="K74" s="664"/>
      <c r="L74" s="306"/>
      <c r="M74" s="306"/>
      <c r="N74" s="306"/>
      <c r="O74" s="306"/>
      <c r="P74" s="306"/>
      <c r="Q74" s="306"/>
      <c r="R74" s="306"/>
      <c r="S74" s="306"/>
      <c r="T74" s="306"/>
      <c r="U74" s="306"/>
      <c r="V74" s="333"/>
      <c r="W74" s="306"/>
      <c r="X74" s="306"/>
      <c r="Y74" s="307"/>
      <c r="Z74" s="307"/>
      <c r="AA74" s="313"/>
      <c r="AB74" s="307"/>
      <c r="AC74" s="308"/>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79"/>
      <c r="ET74" s="279"/>
      <c r="EU74" s="279"/>
      <c r="EV74" s="279"/>
      <c r="EW74" s="279"/>
      <c r="EX74" s="279"/>
      <c r="EY74" s="279"/>
      <c r="EZ74" s="279"/>
      <c r="FA74" s="279"/>
      <c r="FB74" s="279"/>
      <c r="FC74" s="279"/>
      <c r="FD74" s="279"/>
      <c r="FE74" s="279"/>
      <c r="FF74" s="279"/>
      <c r="FG74" s="279"/>
      <c r="FH74" s="279"/>
      <c r="FI74" s="279"/>
      <c r="FJ74" s="279"/>
      <c r="FK74" s="279"/>
      <c r="FL74" s="279"/>
      <c r="FM74" s="279"/>
      <c r="FN74" s="279"/>
      <c r="FO74" s="279"/>
      <c r="FP74" s="279"/>
      <c r="FQ74" s="279"/>
      <c r="FR74" s="279"/>
      <c r="FS74" s="279"/>
      <c r="FT74" s="279"/>
      <c r="FU74" s="279"/>
      <c r="FV74" s="279"/>
      <c r="FW74" s="279"/>
      <c r="FX74" s="279"/>
      <c r="FY74" s="279"/>
      <c r="FZ74" s="279"/>
      <c r="GA74" s="279"/>
      <c r="GB74" s="279"/>
      <c r="GC74" s="279"/>
      <c r="GD74" s="279"/>
      <c r="GE74" s="279"/>
      <c r="GF74" s="279"/>
      <c r="GG74" s="279"/>
      <c r="GH74" s="279"/>
      <c r="GI74" s="279"/>
      <c r="GJ74" s="279"/>
      <c r="GK74" s="279"/>
      <c r="GL74" s="279"/>
      <c r="GM74" s="279"/>
      <c r="GN74" s="279"/>
      <c r="GO74" s="279"/>
      <c r="GP74" s="279"/>
      <c r="GQ74" s="279"/>
      <c r="GR74" s="280"/>
      <c r="GS74" s="280"/>
      <c r="GT74" s="280"/>
      <c r="GU74" s="280"/>
      <c r="GV74" s="280"/>
    </row>
    <row r="75" spans="1:204" ht="21.75" customHeight="1" thickBot="1" x14ac:dyDescent="0.3">
      <c r="A75" s="303"/>
      <c r="B75" s="395"/>
      <c r="C75" s="306"/>
      <c r="D75" s="672" t="s">
        <v>163</v>
      </c>
      <c r="E75" s="673"/>
      <c r="F75" s="664"/>
      <c r="G75" s="664"/>
      <c r="H75" s="664"/>
      <c r="I75" s="664"/>
      <c r="J75" s="664"/>
      <c r="K75" s="664"/>
      <c r="L75" s="306"/>
      <c r="M75" s="306"/>
      <c r="N75" s="306"/>
      <c r="O75" s="306"/>
      <c r="P75" s="306"/>
      <c r="Q75" s="306"/>
      <c r="R75" s="306"/>
      <c r="S75" s="306"/>
      <c r="T75" s="707"/>
      <c r="U75" s="707"/>
      <c r="V75" s="707"/>
      <c r="W75" s="306"/>
      <c r="X75" s="306"/>
      <c r="Y75" s="307"/>
      <c r="Z75" s="307"/>
      <c r="AA75" s="313" t="s">
        <v>357</v>
      </c>
      <c r="AB75" s="491">
        <f>26*AB73</f>
        <v>7.67</v>
      </c>
      <c r="AC75" s="308"/>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279"/>
      <c r="FE75" s="279"/>
      <c r="FF75" s="279"/>
      <c r="FG75" s="279"/>
      <c r="FH75" s="279"/>
      <c r="FI75" s="279"/>
      <c r="FJ75" s="279"/>
      <c r="FK75" s="279"/>
      <c r="FL75" s="279"/>
      <c r="FM75" s="279"/>
      <c r="FN75" s="279"/>
      <c r="FO75" s="279"/>
      <c r="FP75" s="279"/>
      <c r="FQ75" s="279"/>
      <c r="FR75" s="279"/>
      <c r="FS75" s="279"/>
      <c r="FT75" s="279"/>
      <c r="FU75" s="279"/>
      <c r="FV75" s="279"/>
      <c r="FW75" s="279"/>
      <c r="FX75" s="279"/>
      <c r="FY75" s="279"/>
      <c r="FZ75" s="279"/>
      <c r="GA75" s="279"/>
      <c r="GB75" s="279"/>
      <c r="GC75" s="279"/>
      <c r="GD75" s="279"/>
      <c r="GE75" s="279"/>
      <c r="GF75" s="279"/>
      <c r="GG75" s="279"/>
      <c r="GH75" s="279"/>
      <c r="GI75" s="279"/>
      <c r="GJ75" s="279"/>
      <c r="GK75" s="279"/>
      <c r="GL75" s="279"/>
      <c r="GM75" s="279"/>
      <c r="GN75" s="279"/>
      <c r="GO75" s="279"/>
      <c r="GP75" s="279"/>
      <c r="GQ75" s="279"/>
      <c r="GR75" s="280"/>
      <c r="GS75" s="280"/>
      <c r="GT75" s="280"/>
      <c r="GU75" s="280"/>
      <c r="GV75" s="280"/>
    </row>
    <row r="76" spans="1:204" ht="15.75" x14ac:dyDescent="0.25">
      <c r="A76" s="303"/>
      <c r="B76" s="307"/>
      <c r="C76" s="306"/>
      <c r="D76" s="306"/>
      <c r="E76" s="306"/>
      <c r="F76" s="306"/>
      <c r="G76" s="351"/>
      <c r="H76" s="351"/>
      <c r="I76" s="351"/>
      <c r="J76" s="351"/>
      <c r="K76" s="351"/>
      <c r="L76" s="351"/>
      <c r="M76" s="306"/>
      <c r="N76" s="306"/>
      <c r="O76" s="306"/>
      <c r="P76" s="306"/>
      <c r="Q76" s="306"/>
      <c r="R76" s="306"/>
      <c r="S76" s="306"/>
      <c r="T76" s="306"/>
      <c r="U76" s="306"/>
      <c r="V76" s="333"/>
      <c r="W76" s="306"/>
      <c r="X76" s="306"/>
      <c r="Y76" s="307"/>
      <c r="Z76" s="307"/>
      <c r="AA76" s="307"/>
      <c r="AB76" s="578" t="str">
        <f xml:space="preserve"> IF(AB73&gt;0,"This cost takes into account a 50 % premium reduction but does not include the 9 % sales tax","")</f>
        <v>This cost takes into account a 50 % premium reduction but does not include the 9 % sales tax</v>
      </c>
      <c r="AC76" s="308"/>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c r="EA76" s="279"/>
      <c r="EB76" s="279"/>
      <c r="EC76" s="279"/>
      <c r="ED76" s="279"/>
      <c r="EE76" s="279"/>
      <c r="EF76" s="279"/>
      <c r="EG76" s="279"/>
      <c r="EH76" s="279"/>
      <c r="EI76" s="279"/>
      <c r="EJ76" s="279"/>
      <c r="EK76" s="279"/>
      <c r="EL76" s="279"/>
      <c r="EM76" s="279"/>
      <c r="EN76" s="279"/>
      <c r="EO76" s="279"/>
      <c r="EP76" s="279"/>
      <c r="EQ76" s="279"/>
      <c r="ER76" s="279"/>
      <c r="ES76" s="279"/>
      <c r="ET76" s="279"/>
      <c r="EU76" s="279"/>
      <c r="EV76" s="279"/>
      <c r="EW76" s="279"/>
      <c r="EX76" s="279"/>
      <c r="EY76" s="279"/>
      <c r="EZ76" s="279"/>
      <c r="FA76" s="279"/>
      <c r="FB76" s="279"/>
      <c r="FC76" s="279"/>
      <c r="FD76" s="279"/>
      <c r="FE76" s="279"/>
      <c r="FF76" s="279"/>
      <c r="FG76" s="279"/>
      <c r="FH76" s="279"/>
      <c r="FI76" s="279"/>
      <c r="FJ76" s="279"/>
      <c r="FK76" s="279"/>
      <c r="FL76" s="279"/>
      <c r="FM76" s="279"/>
      <c r="FN76" s="279"/>
      <c r="FO76" s="279"/>
      <c r="FP76" s="279"/>
      <c r="FQ76" s="279"/>
      <c r="FR76" s="279"/>
      <c r="FS76" s="279"/>
      <c r="FT76" s="279"/>
      <c r="FU76" s="279"/>
      <c r="FV76" s="279"/>
      <c r="FW76" s="279"/>
      <c r="FX76" s="279"/>
      <c r="FY76" s="279"/>
      <c r="FZ76" s="279"/>
      <c r="GA76" s="279"/>
      <c r="GB76" s="279"/>
      <c r="GC76" s="279"/>
      <c r="GD76" s="279"/>
      <c r="GE76" s="279"/>
      <c r="GF76" s="279"/>
      <c r="GG76" s="279"/>
      <c r="GH76" s="279"/>
      <c r="GI76" s="279"/>
      <c r="GJ76" s="279"/>
      <c r="GK76" s="279"/>
      <c r="GL76" s="279"/>
      <c r="GM76" s="279"/>
      <c r="GN76" s="279"/>
      <c r="GO76" s="279"/>
      <c r="GP76" s="279"/>
      <c r="GQ76" s="279"/>
      <c r="GR76" s="280"/>
      <c r="GS76" s="280"/>
      <c r="GT76" s="280"/>
      <c r="GU76" s="280"/>
      <c r="GV76" s="280"/>
    </row>
    <row r="77" spans="1:204" ht="15.75" x14ac:dyDescent="0.25">
      <c r="A77" s="303"/>
      <c r="B77" s="306"/>
      <c r="C77" s="306"/>
      <c r="D77" s="306"/>
      <c r="E77" s="306"/>
      <c r="F77" s="310"/>
      <c r="G77" s="393" t="s">
        <v>187</v>
      </c>
      <c r="H77" s="351"/>
      <c r="I77" s="351"/>
      <c r="J77" s="351"/>
      <c r="K77" s="351"/>
      <c r="L77" s="351"/>
      <c r="M77" s="306"/>
      <c r="N77" s="306"/>
      <c r="O77" s="306"/>
      <c r="P77" s="306"/>
      <c r="Q77" s="306"/>
      <c r="R77" s="306"/>
      <c r="S77" s="306"/>
      <c r="T77" s="306"/>
      <c r="U77" s="306"/>
      <c r="V77" s="350"/>
      <c r="W77" s="306"/>
      <c r="X77" s="306"/>
      <c r="Y77" s="307"/>
      <c r="Z77" s="307"/>
      <c r="AA77" s="306"/>
      <c r="AB77" s="306"/>
      <c r="AC77" s="308"/>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c r="FU77" s="280"/>
      <c r="FV77" s="280"/>
      <c r="FW77" s="280"/>
      <c r="FX77" s="280"/>
      <c r="FY77" s="280"/>
      <c r="FZ77" s="280"/>
      <c r="GA77" s="280"/>
      <c r="GB77" s="280"/>
      <c r="GC77" s="280"/>
      <c r="GD77" s="280"/>
      <c r="GE77" s="280"/>
      <c r="GF77" s="280"/>
      <c r="GG77" s="280"/>
      <c r="GH77" s="280"/>
      <c r="GI77" s="280"/>
      <c r="GJ77" s="280"/>
      <c r="GK77" s="280"/>
      <c r="GL77" s="280"/>
      <c r="GM77" s="280"/>
      <c r="GN77" s="280"/>
      <c r="GO77" s="280"/>
      <c r="GP77" s="280"/>
      <c r="GQ77" s="280"/>
      <c r="GR77" s="280"/>
      <c r="GS77" s="280"/>
      <c r="GT77" s="280"/>
      <c r="GU77" s="280"/>
      <c r="GV77" s="280"/>
    </row>
    <row r="78" spans="1:204" ht="3.75" customHeight="1" x14ac:dyDescent="0.25">
      <c r="A78" s="281"/>
      <c r="B78" s="336"/>
      <c r="C78" s="336"/>
      <c r="D78" s="336"/>
      <c r="E78" s="336"/>
      <c r="F78" s="336"/>
      <c r="G78" s="336"/>
      <c r="H78" s="336"/>
      <c r="I78" s="336"/>
      <c r="J78" s="336"/>
      <c r="K78" s="336"/>
      <c r="L78" s="336"/>
      <c r="M78" s="336"/>
      <c r="N78" s="336"/>
      <c r="O78" s="336"/>
      <c r="P78" s="336"/>
      <c r="Q78" s="336"/>
      <c r="R78" s="283"/>
      <c r="S78" s="283"/>
      <c r="T78" s="283"/>
      <c r="U78" s="283"/>
      <c r="V78" s="283"/>
      <c r="W78" s="283"/>
      <c r="X78" s="283"/>
      <c r="Y78" s="320"/>
      <c r="Z78" s="320"/>
      <c r="AA78" s="320"/>
      <c r="AB78" s="320"/>
      <c r="AC78" s="284"/>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c r="DM78" s="279"/>
      <c r="DN78" s="279"/>
      <c r="DO78" s="279"/>
      <c r="DP78" s="279"/>
      <c r="DQ78" s="279"/>
      <c r="DR78" s="279"/>
      <c r="DS78" s="279"/>
      <c r="DT78" s="279"/>
      <c r="DU78" s="279"/>
      <c r="DV78" s="279"/>
      <c r="DW78" s="279"/>
      <c r="DX78" s="279"/>
      <c r="DY78" s="279"/>
      <c r="DZ78" s="279"/>
      <c r="EA78" s="279"/>
      <c r="EB78" s="279"/>
      <c r="EC78" s="279"/>
      <c r="ED78" s="279"/>
      <c r="EE78" s="279"/>
      <c r="EF78" s="279"/>
      <c r="EG78" s="279"/>
      <c r="EH78" s="279"/>
      <c r="EI78" s="279"/>
      <c r="EJ78" s="279"/>
      <c r="EK78" s="279"/>
      <c r="EL78" s="279"/>
      <c r="EM78" s="279"/>
      <c r="EN78" s="279"/>
      <c r="EO78" s="279"/>
      <c r="EP78" s="279"/>
      <c r="EQ78" s="279"/>
      <c r="ER78" s="279"/>
      <c r="ES78" s="279"/>
      <c r="ET78" s="279"/>
      <c r="EU78" s="279"/>
      <c r="EV78" s="279"/>
      <c r="EW78" s="279"/>
      <c r="EX78" s="279"/>
      <c r="EY78" s="279"/>
      <c r="EZ78" s="279"/>
      <c r="FA78" s="279"/>
      <c r="FB78" s="279"/>
      <c r="FC78" s="279"/>
      <c r="FD78" s="279"/>
      <c r="FE78" s="279"/>
      <c r="FF78" s="279"/>
      <c r="FG78" s="279"/>
      <c r="FH78" s="279"/>
      <c r="FI78" s="279"/>
      <c r="FJ78" s="279"/>
      <c r="FK78" s="279"/>
      <c r="FL78" s="279"/>
      <c r="FM78" s="279"/>
      <c r="FN78" s="279"/>
      <c r="FO78" s="279"/>
      <c r="FP78" s="279"/>
      <c r="FQ78" s="279"/>
      <c r="FR78" s="279"/>
      <c r="FS78" s="279"/>
      <c r="FT78" s="279"/>
      <c r="FU78" s="279"/>
      <c r="FV78" s="279"/>
      <c r="FW78" s="279"/>
      <c r="FX78" s="279"/>
      <c r="FY78" s="279"/>
      <c r="FZ78" s="279"/>
      <c r="GA78" s="279"/>
      <c r="GB78" s="279"/>
      <c r="GC78" s="279"/>
      <c r="GD78" s="279"/>
      <c r="GE78" s="279"/>
      <c r="GF78" s="279"/>
      <c r="GG78" s="279"/>
      <c r="GH78" s="279"/>
      <c r="GI78" s="279"/>
      <c r="GJ78" s="279"/>
      <c r="GK78" s="279"/>
      <c r="GL78" s="279"/>
      <c r="GM78" s="279"/>
      <c r="GN78" s="279"/>
      <c r="GO78" s="279"/>
      <c r="GP78" s="279"/>
      <c r="GQ78" s="279"/>
      <c r="GR78" s="280"/>
      <c r="GS78" s="280"/>
      <c r="GT78" s="280"/>
      <c r="GU78" s="280"/>
      <c r="GV78" s="280"/>
    </row>
    <row r="79" spans="1:204" ht="21.75" thickBot="1" x14ac:dyDescent="0.4">
      <c r="A79" s="285"/>
      <c r="B79" s="382" t="s">
        <v>173</v>
      </c>
      <c r="C79" s="321"/>
      <c r="D79" s="286"/>
      <c r="E79" s="286"/>
      <c r="F79" s="286"/>
      <c r="G79" s="286"/>
      <c r="H79" s="286"/>
      <c r="I79" s="286"/>
      <c r="J79" s="286"/>
      <c r="K79" s="286"/>
      <c r="L79" s="286"/>
      <c r="M79" s="286"/>
      <c r="N79" s="286"/>
      <c r="O79" s="286"/>
      <c r="P79" s="286"/>
      <c r="Q79" s="286"/>
      <c r="R79" s="325"/>
      <c r="S79" s="286"/>
      <c r="T79" s="286"/>
      <c r="U79" s="286"/>
      <c r="V79" s="286"/>
      <c r="W79" s="286"/>
      <c r="X79" s="286"/>
      <c r="Y79" s="293"/>
      <c r="Z79" s="293"/>
      <c r="AA79" s="293"/>
      <c r="AB79" s="293"/>
      <c r="AC79" s="288"/>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9"/>
      <c r="EE79" s="279"/>
      <c r="EF79" s="279"/>
      <c r="EG79" s="279"/>
      <c r="EH79" s="279"/>
      <c r="EI79" s="279"/>
      <c r="EJ79" s="279"/>
      <c r="EK79" s="279"/>
      <c r="EL79" s="279"/>
      <c r="EM79" s="279"/>
      <c r="EN79" s="279"/>
      <c r="EO79" s="279"/>
      <c r="EP79" s="279"/>
      <c r="EQ79" s="279"/>
      <c r="ER79" s="279"/>
      <c r="ES79" s="279"/>
      <c r="ET79" s="279"/>
      <c r="EU79" s="279"/>
      <c r="EV79" s="279"/>
      <c r="EW79" s="279"/>
      <c r="EX79" s="279"/>
      <c r="EY79" s="279"/>
      <c r="EZ79" s="279"/>
      <c r="FA79" s="279"/>
      <c r="FB79" s="279"/>
      <c r="FC79" s="279"/>
      <c r="FD79" s="279"/>
      <c r="FE79" s="279"/>
      <c r="FF79" s="279"/>
      <c r="FG79" s="279"/>
      <c r="FH79" s="279"/>
      <c r="FI79" s="279"/>
      <c r="FJ79" s="279"/>
      <c r="FK79" s="279"/>
      <c r="FL79" s="279"/>
      <c r="FM79" s="279"/>
      <c r="FN79" s="279"/>
      <c r="FO79" s="279"/>
      <c r="FP79" s="279"/>
      <c r="FQ79" s="279"/>
      <c r="FR79" s="279"/>
      <c r="FS79" s="279"/>
      <c r="FT79" s="279"/>
      <c r="FU79" s="279"/>
      <c r="FV79" s="279"/>
      <c r="FW79" s="279"/>
      <c r="FX79" s="279"/>
      <c r="FY79" s="279"/>
      <c r="FZ79" s="279"/>
      <c r="GA79" s="279"/>
      <c r="GB79" s="279"/>
      <c r="GC79" s="279"/>
      <c r="GD79" s="279"/>
      <c r="GE79" s="279"/>
      <c r="GF79" s="279"/>
      <c r="GG79" s="279"/>
      <c r="GH79" s="279"/>
      <c r="GI79" s="279"/>
      <c r="GJ79" s="279"/>
      <c r="GK79" s="279"/>
      <c r="GL79" s="279"/>
      <c r="GM79" s="279"/>
      <c r="GN79" s="279"/>
      <c r="GO79" s="279"/>
      <c r="GP79" s="279"/>
      <c r="GQ79" s="279"/>
      <c r="GR79" s="280"/>
      <c r="GS79" s="280"/>
      <c r="GT79" s="280"/>
      <c r="GU79" s="280"/>
      <c r="GV79" s="280"/>
    </row>
    <row r="80" spans="1:204" ht="21.75" customHeight="1" thickBot="1" x14ac:dyDescent="0.4">
      <c r="A80" s="285"/>
      <c r="B80" s="385" t="s">
        <v>174</v>
      </c>
      <c r="C80" s="289"/>
      <c r="D80" s="286"/>
      <c r="E80" s="286"/>
      <c r="F80" s="286"/>
      <c r="G80" s="286"/>
      <c r="H80" s="286"/>
      <c r="I80" s="286"/>
      <c r="J80" s="286"/>
      <c r="K80" s="286"/>
      <c r="L80" s="286"/>
      <c r="M80" s="286"/>
      <c r="N80" s="286"/>
      <c r="O80" s="433"/>
      <c r="P80" s="433"/>
      <c r="Q80" s="433"/>
      <c r="R80" s="433"/>
      <c r="S80" s="433"/>
      <c r="T80" s="432"/>
      <c r="U80" s="433" t="s">
        <v>373</v>
      </c>
      <c r="V80" s="495">
        <f>'Taux anglais'!R50</f>
        <v>8.4000000000000005E-2</v>
      </c>
      <c r="W80" s="286"/>
      <c r="X80" s="388" t="s">
        <v>176</v>
      </c>
      <c r="Y80" s="403">
        <f>IF(AND('Taux anglais'!V45&gt;0,'Taux anglais'!W48&gt;0),0,'Taux anglais'!V45+'Taux anglais'!W48)</f>
        <v>125000</v>
      </c>
      <c r="Z80" s="352"/>
      <c r="AA80" s="293"/>
      <c r="AB80" s="293"/>
      <c r="AC80" s="288"/>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c r="EA80" s="279"/>
      <c r="EB80" s="279"/>
      <c r="EC80" s="279"/>
      <c r="ED80" s="279"/>
      <c r="EE80" s="279"/>
      <c r="EF80" s="279"/>
      <c r="EG80" s="279"/>
      <c r="EH80" s="279"/>
      <c r="EI80" s="279"/>
      <c r="EJ80" s="279"/>
      <c r="EK80" s="279"/>
      <c r="EL80" s="279"/>
      <c r="EM80" s="279"/>
      <c r="EN80" s="279"/>
      <c r="EO80" s="279"/>
      <c r="EP80" s="279"/>
      <c r="EQ80" s="279"/>
      <c r="ER80" s="279"/>
      <c r="ES80" s="279"/>
      <c r="ET80" s="279"/>
      <c r="EU80" s="279"/>
      <c r="EV80" s="279"/>
      <c r="EW80" s="279"/>
      <c r="EX80" s="279"/>
      <c r="EY80" s="279"/>
      <c r="EZ80" s="279"/>
      <c r="FA80" s="279"/>
      <c r="FB80" s="279"/>
      <c r="FC80" s="279"/>
      <c r="FD80" s="279"/>
      <c r="FE80" s="279"/>
      <c r="FF80" s="279"/>
      <c r="FG80" s="279"/>
      <c r="FH80" s="279"/>
      <c r="FI80" s="279"/>
      <c r="FJ80" s="279"/>
      <c r="FK80" s="279"/>
      <c r="FL80" s="279"/>
      <c r="FM80" s="279"/>
      <c r="FN80" s="279"/>
      <c r="FO80" s="279"/>
      <c r="FP80" s="279"/>
      <c r="FQ80" s="279"/>
      <c r="FR80" s="279"/>
      <c r="FS80" s="279"/>
      <c r="FT80" s="279"/>
      <c r="FU80" s="279"/>
      <c r="FV80" s="279"/>
      <c r="FW80" s="279"/>
      <c r="FX80" s="279"/>
      <c r="FY80" s="279"/>
      <c r="FZ80" s="279"/>
      <c r="GA80" s="279"/>
      <c r="GB80" s="279"/>
      <c r="GC80" s="279"/>
      <c r="GD80" s="279"/>
      <c r="GE80" s="279"/>
      <c r="GF80" s="279"/>
      <c r="GG80" s="279"/>
      <c r="GH80" s="279"/>
      <c r="GI80" s="279"/>
      <c r="GJ80" s="279"/>
      <c r="GK80" s="279"/>
      <c r="GL80" s="279"/>
      <c r="GM80" s="279"/>
      <c r="GN80" s="279"/>
      <c r="GO80" s="279"/>
      <c r="GP80" s="279"/>
      <c r="GQ80" s="279"/>
      <c r="GR80" s="280"/>
      <c r="GS80" s="280"/>
      <c r="GT80" s="280"/>
      <c r="GU80" s="280"/>
      <c r="GV80" s="280"/>
    </row>
    <row r="81" spans="1:204" ht="21" x14ac:dyDescent="0.35">
      <c r="A81" s="285"/>
      <c r="B81" s="289"/>
      <c r="C81" s="289"/>
      <c r="D81" s="286"/>
      <c r="E81" s="286"/>
      <c r="F81" s="286"/>
      <c r="G81" s="286"/>
      <c r="H81" s="286"/>
      <c r="I81" s="286"/>
      <c r="J81" s="286"/>
      <c r="K81" s="286"/>
      <c r="L81" s="286"/>
      <c r="M81" s="286"/>
      <c r="N81" s="286"/>
      <c r="O81" s="353"/>
      <c r="P81" s="353"/>
      <c r="Q81" s="353"/>
      <c r="R81" s="353"/>
      <c r="S81" s="353"/>
      <c r="T81" s="353"/>
      <c r="U81" s="345"/>
      <c r="V81" s="286"/>
      <c r="W81" s="286"/>
      <c r="X81" s="342"/>
      <c r="Y81" s="352"/>
      <c r="Z81" s="352"/>
      <c r="AA81" s="293"/>
      <c r="AB81" s="293"/>
      <c r="AC81" s="288"/>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c r="DM81" s="279"/>
      <c r="DN81" s="279"/>
      <c r="DO81" s="279"/>
      <c r="DP81" s="279"/>
      <c r="DQ81" s="279"/>
      <c r="DR81" s="279"/>
      <c r="DS81" s="279"/>
      <c r="DT81" s="279"/>
      <c r="DU81" s="279"/>
      <c r="DV81" s="279"/>
      <c r="DW81" s="279"/>
      <c r="DX81" s="279"/>
      <c r="DY81" s="279"/>
      <c r="DZ81" s="279"/>
      <c r="EA81" s="279"/>
      <c r="EB81" s="279"/>
      <c r="EC81" s="279"/>
      <c r="ED81" s="279"/>
      <c r="EE81" s="279"/>
      <c r="EF81" s="279"/>
      <c r="EG81" s="279"/>
      <c r="EH81" s="279"/>
      <c r="EI81" s="279"/>
      <c r="EJ81" s="279"/>
      <c r="EK81" s="279"/>
      <c r="EL81" s="279"/>
      <c r="EM81" s="279"/>
      <c r="EN81" s="279"/>
      <c r="EO81" s="279"/>
      <c r="EP81" s="279"/>
      <c r="EQ81" s="279"/>
      <c r="ER81" s="279"/>
      <c r="ES81" s="279"/>
      <c r="ET81" s="279"/>
      <c r="EU81" s="279"/>
      <c r="EV81" s="279"/>
      <c r="EW81" s="279"/>
      <c r="EX81" s="279"/>
      <c r="EY81" s="279"/>
      <c r="EZ81" s="279"/>
      <c r="FA81" s="279"/>
      <c r="FB81" s="279"/>
      <c r="FC81" s="279"/>
      <c r="FD81" s="279"/>
      <c r="FE81" s="279"/>
      <c r="FF81" s="279"/>
      <c r="FG81" s="279"/>
      <c r="FH81" s="279"/>
      <c r="FI81" s="279"/>
      <c r="FJ81" s="279"/>
      <c r="FK81" s="279"/>
      <c r="FL81" s="279"/>
      <c r="FM81" s="279"/>
      <c r="FN81" s="279"/>
      <c r="FO81" s="279"/>
      <c r="FP81" s="279"/>
      <c r="FQ81" s="279"/>
      <c r="FR81" s="279"/>
      <c r="FS81" s="279"/>
      <c r="FT81" s="279"/>
      <c r="FU81" s="279"/>
      <c r="FV81" s="279"/>
      <c r="FW81" s="279"/>
      <c r="FX81" s="279"/>
      <c r="FY81" s="279"/>
      <c r="FZ81" s="279"/>
      <c r="GA81" s="279"/>
      <c r="GB81" s="279"/>
      <c r="GC81" s="279"/>
      <c r="GD81" s="279"/>
      <c r="GE81" s="279"/>
      <c r="GF81" s="279"/>
      <c r="GG81" s="279"/>
      <c r="GH81" s="279"/>
      <c r="GI81" s="279"/>
      <c r="GJ81" s="279"/>
      <c r="GK81" s="279"/>
      <c r="GL81" s="279"/>
      <c r="GM81" s="279"/>
      <c r="GN81" s="279"/>
      <c r="GO81" s="279"/>
      <c r="GP81" s="279"/>
      <c r="GQ81" s="279"/>
      <c r="GR81" s="280"/>
      <c r="GS81" s="280"/>
      <c r="GT81" s="280"/>
      <c r="GU81" s="280"/>
      <c r="GV81" s="280"/>
    </row>
    <row r="82" spans="1:204" ht="15.75" thickBot="1" x14ac:dyDescent="0.3">
      <c r="A82" s="285"/>
      <c r="B82" s="657" t="s">
        <v>342</v>
      </c>
      <c r="C82" s="657"/>
      <c r="D82" s="657"/>
      <c r="E82" s="657"/>
      <c r="F82" s="657"/>
      <c r="G82" s="657"/>
      <c r="H82" s="657"/>
      <c r="I82" s="286" t="s">
        <v>177</v>
      </c>
      <c r="J82" s="286"/>
      <c r="K82" s="286"/>
      <c r="L82" s="286"/>
      <c r="M82" s="286"/>
      <c r="N82" s="286"/>
      <c r="O82" s="286"/>
      <c r="P82" s="286"/>
      <c r="Q82" s="286"/>
      <c r="R82" s="690" t="s">
        <v>369</v>
      </c>
      <c r="S82" s="690"/>
      <c r="T82" s="690"/>
      <c r="U82" s="690"/>
      <c r="V82" s="690"/>
      <c r="W82" s="690"/>
      <c r="X82" s="690"/>
      <c r="Y82" s="293"/>
      <c r="Z82" s="293"/>
      <c r="AA82" s="293"/>
      <c r="AB82" s="293"/>
      <c r="AC82" s="288"/>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c r="DM82" s="279"/>
      <c r="DN82" s="279"/>
      <c r="DO82" s="279"/>
      <c r="DP82" s="279"/>
      <c r="DQ82" s="279"/>
      <c r="DR82" s="279"/>
      <c r="DS82" s="279"/>
      <c r="DT82" s="279"/>
      <c r="DU82" s="279"/>
      <c r="DV82" s="279"/>
      <c r="DW82" s="279"/>
      <c r="DX82" s="279"/>
      <c r="DY82" s="279"/>
      <c r="DZ82" s="279"/>
      <c r="EA82" s="279"/>
      <c r="EB82" s="279"/>
      <c r="EC82" s="279"/>
      <c r="ED82" s="279"/>
      <c r="EE82" s="279"/>
      <c r="EF82" s="279"/>
      <c r="EG82" s="279"/>
      <c r="EH82" s="279"/>
      <c r="EI82" s="279"/>
      <c r="EJ82" s="279"/>
      <c r="EK82" s="279"/>
      <c r="EL82" s="279"/>
      <c r="EM82" s="279"/>
      <c r="EN82" s="279"/>
      <c r="EO82" s="279"/>
      <c r="EP82" s="279"/>
      <c r="EQ82" s="279"/>
      <c r="ER82" s="279"/>
      <c r="ES82" s="279"/>
      <c r="ET82" s="279"/>
      <c r="EU82" s="279"/>
      <c r="EV82" s="279"/>
      <c r="EW82" s="279"/>
      <c r="EX82" s="279"/>
      <c r="EY82" s="279"/>
      <c r="EZ82" s="279"/>
      <c r="FA82" s="279"/>
      <c r="FB82" s="279"/>
      <c r="FC82" s="279"/>
      <c r="FD82" s="279"/>
      <c r="FE82" s="279"/>
      <c r="FF82" s="279"/>
      <c r="FG82" s="279"/>
      <c r="FH82" s="279"/>
      <c r="FI82" s="279"/>
      <c r="FJ82" s="279"/>
      <c r="FK82" s="279"/>
      <c r="FL82" s="279"/>
      <c r="FM82" s="279"/>
      <c r="FN82" s="279"/>
      <c r="FO82" s="279"/>
      <c r="FP82" s="279"/>
      <c r="FQ82" s="279"/>
      <c r="FR82" s="279"/>
      <c r="FS82" s="279"/>
      <c r="FT82" s="279"/>
      <c r="FU82" s="279"/>
      <c r="FV82" s="279"/>
      <c r="FW82" s="279"/>
      <c r="FX82" s="279"/>
      <c r="FY82" s="279"/>
      <c r="FZ82" s="279"/>
      <c r="GA82" s="279"/>
      <c r="GB82" s="279"/>
      <c r="GC82" s="279"/>
      <c r="GD82" s="279"/>
      <c r="GE82" s="279"/>
      <c r="GF82" s="279"/>
      <c r="GG82" s="279"/>
      <c r="GH82" s="279"/>
      <c r="GI82" s="279"/>
      <c r="GJ82" s="279"/>
      <c r="GK82" s="279"/>
      <c r="GL82" s="279"/>
      <c r="GM82" s="279"/>
      <c r="GN82" s="279"/>
      <c r="GO82" s="279"/>
      <c r="GP82" s="279"/>
      <c r="GQ82" s="279"/>
      <c r="GR82" s="280"/>
      <c r="GS82" s="280"/>
      <c r="GT82" s="280"/>
      <c r="GU82" s="280"/>
      <c r="GV82" s="280"/>
    </row>
    <row r="83" spans="1:204" ht="21.75" customHeight="1" thickBot="1" x14ac:dyDescent="0.3">
      <c r="A83" s="285"/>
      <c r="B83" s="420" t="s">
        <v>336</v>
      </c>
      <c r="C83" s="292"/>
      <c r="D83" s="661" t="s">
        <v>162</v>
      </c>
      <c r="E83" s="663"/>
      <c r="F83" s="656" t="str">
        <f>IF(COUNTBLANK(B83:B85)&lt;2,"You can't choose more than one answer",IF(COUNTBLANK(B83:B85)=3,"You have to choose an answer",""))</f>
        <v/>
      </c>
      <c r="G83" s="656"/>
      <c r="H83" s="656"/>
      <c r="I83" s="395"/>
      <c r="J83" s="292"/>
      <c r="K83" s="658" t="s">
        <v>178</v>
      </c>
      <c r="L83" s="660"/>
      <c r="M83" s="656" t="str">
        <f>IF(COUNTBLANK(I83:I85)&lt;2,"You can't choose more than one answer",IF(COUNTBLANK(I83:I85)=3,"You have to choose an answer",""))</f>
        <v/>
      </c>
      <c r="N83" s="656"/>
      <c r="O83" s="656"/>
      <c r="P83" s="432"/>
      <c r="Q83" s="432"/>
      <c r="R83" s="355"/>
      <c r="S83" s="293"/>
      <c r="T83" s="448"/>
      <c r="U83" s="724" t="s">
        <v>368</v>
      </c>
      <c r="V83" s="725"/>
      <c r="W83" s="726"/>
      <c r="X83" s="403">
        <f>IF(OR(T83=1,T83=2,T83=3,T83=4,T83=5,T83=6,T83=7),T83*20000,0)</f>
        <v>0</v>
      </c>
      <c r="Y83" s="727" t="str">
        <f>IF(AND(X83&gt;0,X89&gt;0),"If you change the amount of insurance you already have, you must take units of $25 000","")</f>
        <v/>
      </c>
      <c r="Z83" s="727"/>
      <c r="AA83" s="293"/>
      <c r="AB83" s="293"/>
      <c r="AC83" s="288"/>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c r="EA83" s="279"/>
      <c r="EB83" s="279"/>
      <c r="EC83" s="279"/>
      <c r="ED83" s="279"/>
      <c r="EE83" s="279"/>
      <c r="EF83" s="279"/>
      <c r="EG83" s="279"/>
      <c r="EH83" s="279"/>
      <c r="EI83" s="279"/>
      <c r="EJ83" s="279"/>
      <c r="EK83" s="279"/>
      <c r="EL83" s="279"/>
      <c r="EM83" s="279"/>
      <c r="EN83" s="279"/>
      <c r="EO83" s="279"/>
      <c r="EP83" s="279"/>
      <c r="EQ83" s="279"/>
      <c r="ER83" s="279"/>
      <c r="ES83" s="279"/>
      <c r="ET83" s="279"/>
      <c r="EU83" s="279"/>
      <c r="EV83" s="279"/>
      <c r="EW83" s="279"/>
      <c r="EX83" s="279"/>
      <c r="EY83" s="279"/>
      <c r="EZ83" s="279"/>
      <c r="FA83" s="279"/>
      <c r="FB83" s="279"/>
      <c r="FC83" s="279"/>
      <c r="FD83" s="279"/>
      <c r="FE83" s="279"/>
      <c r="FF83" s="279"/>
      <c r="FG83" s="279"/>
      <c r="FH83" s="279"/>
      <c r="FI83" s="279"/>
      <c r="FJ83" s="279"/>
      <c r="FK83" s="279"/>
      <c r="FL83" s="279"/>
      <c r="FM83" s="279"/>
      <c r="FN83" s="279"/>
      <c r="FO83" s="279"/>
      <c r="FP83" s="279"/>
      <c r="FQ83" s="279"/>
      <c r="FR83" s="279"/>
      <c r="FS83" s="279"/>
      <c r="FT83" s="279"/>
      <c r="FU83" s="279"/>
      <c r="FV83" s="279"/>
      <c r="FW83" s="279"/>
      <c r="FX83" s="279"/>
      <c r="FY83" s="279"/>
      <c r="FZ83" s="279"/>
      <c r="GA83" s="279"/>
      <c r="GB83" s="279"/>
      <c r="GC83" s="279"/>
      <c r="GD83" s="279"/>
      <c r="GE83" s="279"/>
      <c r="GF83" s="279"/>
      <c r="GG83" s="279"/>
      <c r="GH83" s="279"/>
      <c r="GI83" s="279"/>
      <c r="GJ83" s="279"/>
      <c r="GK83" s="279"/>
      <c r="GL83" s="279"/>
      <c r="GM83" s="279"/>
      <c r="GN83" s="279"/>
      <c r="GO83" s="279"/>
      <c r="GP83" s="279"/>
      <c r="GQ83" s="279"/>
      <c r="GR83" s="280"/>
      <c r="GS83" s="280"/>
      <c r="GT83" s="280"/>
      <c r="GU83" s="280"/>
      <c r="GV83" s="280"/>
    </row>
    <row r="84" spans="1:204" ht="4.5" customHeight="1" thickBot="1" x14ac:dyDescent="0.3">
      <c r="A84" s="285"/>
      <c r="B84" s="396"/>
      <c r="C84" s="342"/>
      <c r="D84" s="409"/>
      <c r="E84" s="409"/>
      <c r="F84" s="656"/>
      <c r="G84" s="656"/>
      <c r="H84" s="656"/>
      <c r="I84" s="399"/>
      <c r="J84" s="292"/>
      <c r="K84" s="418"/>
      <c r="L84" s="418"/>
      <c r="M84" s="656"/>
      <c r="N84" s="656"/>
      <c r="O84" s="656"/>
      <c r="P84" s="432"/>
      <c r="Q84" s="432"/>
      <c r="R84" s="356"/>
      <c r="S84" s="291"/>
      <c r="T84" s="291"/>
      <c r="U84" s="286"/>
      <c r="V84" s="286"/>
      <c r="W84" s="286"/>
      <c r="X84" s="286"/>
      <c r="Y84" s="727"/>
      <c r="Z84" s="727"/>
      <c r="AA84" s="293"/>
      <c r="AB84" s="293"/>
      <c r="AC84" s="288"/>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c r="DM84" s="279"/>
      <c r="DN84" s="279"/>
      <c r="DO84" s="279"/>
      <c r="DP84" s="279"/>
      <c r="DQ84" s="279"/>
      <c r="DR84" s="279"/>
      <c r="DS84" s="279"/>
      <c r="DT84" s="279"/>
      <c r="DU84" s="279"/>
      <c r="DV84" s="279"/>
      <c r="DW84" s="279"/>
      <c r="DX84" s="279"/>
      <c r="DY84" s="279"/>
      <c r="DZ84" s="279"/>
      <c r="EA84" s="279"/>
      <c r="EB84" s="279"/>
      <c r="EC84" s="279"/>
      <c r="ED84" s="279"/>
      <c r="EE84" s="279"/>
      <c r="EF84" s="279"/>
      <c r="EG84" s="279"/>
      <c r="EH84" s="279"/>
      <c r="EI84" s="279"/>
      <c r="EJ84" s="279"/>
      <c r="EK84" s="279"/>
      <c r="EL84" s="279"/>
      <c r="EM84" s="279"/>
      <c r="EN84" s="279"/>
      <c r="EO84" s="279"/>
      <c r="EP84" s="279"/>
      <c r="EQ84" s="279"/>
      <c r="ER84" s="279"/>
      <c r="ES84" s="279"/>
      <c r="ET84" s="279"/>
      <c r="EU84" s="279"/>
      <c r="EV84" s="279"/>
      <c r="EW84" s="279"/>
      <c r="EX84" s="279"/>
      <c r="EY84" s="279"/>
      <c r="EZ84" s="279"/>
      <c r="FA84" s="279"/>
      <c r="FB84" s="279"/>
      <c r="FC84" s="279"/>
      <c r="FD84" s="279"/>
      <c r="FE84" s="279"/>
      <c r="FF84" s="279"/>
      <c r="FG84" s="279"/>
      <c r="FH84" s="279"/>
      <c r="FI84" s="279"/>
      <c r="FJ84" s="279"/>
      <c r="FK84" s="279"/>
      <c r="FL84" s="279"/>
      <c r="FM84" s="279"/>
      <c r="FN84" s="279"/>
      <c r="FO84" s="279"/>
      <c r="FP84" s="279"/>
      <c r="FQ84" s="279"/>
      <c r="FR84" s="279"/>
      <c r="FS84" s="279"/>
      <c r="FT84" s="279"/>
      <c r="FU84" s="279"/>
      <c r="FV84" s="279"/>
      <c r="FW84" s="279"/>
      <c r="FX84" s="279"/>
      <c r="FY84" s="279"/>
      <c r="FZ84" s="279"/>
      <c r="GA84" s="279"/>
      <c r="GB84" s="279"/>
      <c r="GC84" s="279"/>
      <c r="GD84" s="279"/>
      <c r="GE84" s="279"/>
      <c r="GF84" s="279"/>
      <c r="GG84" s="279"/>
      <c r="GH84" s="279"/>
      <c r="GI84" s="279"/>
      <c r="GJ84" s="279"/>
      <c r="GK84" s="279"/>
      <c r="GL84" s="279"/>
      <c r="GM84" s="279"/>
      <c r="GN84" s="279"/>
      <c r="GO84" s="279"/>
      <c r="GP84" s="279"/>
      <c r="GQ84" s="279"/>
      <c r="GR84" s="280"/>
      <c r="GS84" s="280"/>
      <c r="GT84" s="280"/>
      <c r="GU84" s="280"/>
      <c r="GV84" s="280"/>
    </row>
    <row r="85" spans="1:204" ht="21.75" customHeight="1" thickBot="1" x14ac:dyDescent="0.3">
      <c r="A85" s="285"/>
      <c r="B85" s="420"/>
      <c r="C85" s="292"/>
      <c r="D85" s="661" t="s">
        <v>163</v>
      </c>
      <c r="E85" s="663"/>
      <c r="F85" s="656"/>
      <c r="G85" s="656"/>
      <c r="H85" s="656"/>
      <c r="I85" s="395" t="s">
        <v>336</v>
      </c>
      <c r="J85" s="292"/>
      <c r="K85" s="658" t="s">
        <v>179</v>
      </c>
      <c r="L85" s="660"/>
      <c r="M85" s="656"/>
      <c r="N85" s="656"/>
      <c r="O85" s="656"/>
      <c r="P85" s="432"/>
      <c r="Q85" s="432"/>
      <c r="R85" s="356"/>
      <c r="S85" s="291"/>
      <c r="T85" s="291"/>
      <c r="U85" s="286"/>
      <c r="V85" s="286"/>
      <c r="W85" s="286"/>
      <c r="X85" s="286"/>
      <c r="Y85" s="727"/>
      <c r="Z85" s="727"/>
      <c r="AA85" s="293"/>
      <c r="AB85" s="293"/>
      <c r="AC85" s="288"/>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c r="DM85" s="279"/>
      <c r="DN85" s="279"/>
      <c r="DO85" s="279"/>
      <c r="DP85" s="279"/>
      <c r="DQ85" s="279"/>
      <c r="DR85" s="279"/>
      <c r="DS85" s="279"/>
      <c r="DT85" s="279"/>
      <c r="DU85" s="279"/>
      <c r="DV85" s="279"/>
      <c r="DW85" s="279"/>
      <c r="DX85" s="279"/>
      <c r="DY85" s="279"/>
      <c r="DZ85" s="279"/>
      <c r="EA85" s="279"/>
      <c r="EB85" s="279"/>
      <c r="EC85" s="279"/>
      <c r="ED85" s="279"/>
      <c r="EE85" s="279"/>
      <c r="EF85" s="279"/>
      <c r="EG85" s="279"/>
      <c r="EH85" s="279"/>
      <c r="EI85" s="279"/>
      <c r="EJ85" s="279"/>
      <c r="EK85" s="279"/>
      <c r="EL85" s="279"/>
      <c r="EM85" s="279"/>
      <c r="EN85" s="279"/>
      <c r="EO85" s="279"/>
      <c r="EP85" s="279"/>
      <c r="EQ85" s="279"/>
      <c r="ER85" s="279"/>
      <c r="ES85" s="279"/>
      <c r="ET85" s="279"/>
      <c r="EU85" s="279"/>
      <c r="EV85" s="279"/>
      <c r="EW85" s="279"/>
      <c r="EX85" s="279"/>
      <c r="EY85" s="279"/>
      <c r="EZ85" s="279"/>
      <c r="FA85" s="279"/>
      <c r="FB85" s="279"/>
      <c r="FC85" s="279"/>
      <c r="FD85" s="279"/>
      <c r="FE85" s="279"/>
      <c r="FF85" s="279"/>
      <c r="FG85" s="279"/>
      <c r="FH85" s="279"/>
      <c r="FI85" s="279"/>
      <c r="FJ85" s="279"/>
      <c r="FK85" s="279"/>
      <c r="FL85" s="279"/>
      <c r="FM85" s="279"/>
      <c r="FN85" s="279"/>
      <c r="FO85" s="279"/>
      <c r="FP85" s="279"/>
      <c r="FQ85" s="279"/>
      <c r="FR85" s="279"/>
      <c r="FS85" s="279"/>
      <c r="FT85" s="279"/>
      <c r="FU85" s="279"/>
      <c r="FV85" s="279"/>
      <c r="FW85" s="279"/>
      <c r="FX85" s="279"/>
      <c r="FY85" s="279"/>
      <c r="FZ85" s="279"/>
      <c r="GA85" s="279"/>
      <c r="GB85" s="279"/>
      <c r="GC85" s="279"/>
      <c r="GD85" s="279"/>
      <c r="GE85" s="279"/>
      <c r="GF85" s="279"/>
      <c r="GG85" s="279"/>
      <c r="GH85" s="279"/>
      <c r="GI85" s="279"/>
      <c r="GJ85" s="279"/>
      <c r="GK85" s="279"/>
      <c r="GL85" s="279"/>
      <c r="GM85" s="279"/>
      <c r="GN85" s="279"/>
      <c r="GO85" s="279"/>
      <c r="GP85" s="279"/>
      <c r="GQ85" s="279"/>
      <c r="GR85" s="280"/>
      <c r="GS85" s="280"/>
      <c r="GT85" s="280"/>
      <c r="GU85" s="280"/>
      <c r="GV85" s="280"/>
    </row>
    <row r="86" spans="1:204" ht="15.75" x14ac:dyDescent="0.25">
      <c r="A86" s="285"/>
      <c r="B86" s="293"/>
      <c r="C86" s="342"/>
      <c r="D86" s="286"/>
      <c r="E86" s="286"/>
      <c r="F86" s="292"/>
      <c r="G86" s="292"/>
      <c r="H86" s="292"/>
      <c r="I86" s="292"/>
      <c r="J86" s="292"/>
      <c r="K86" s="418"/>
      <c r="L86" s="418"/>
      <c r="M86" s="286"/>
      <c r="N86" s="339"/>
      <c r="O86" s="339"/>
      <c r="P86" s="339"/>
      <c r="Q86" s="339"/>
      <c r="R86" s="356"/>
      <c r="S86" s="291"/>
      <c r="T86" s="291"/>
      <c r="U86" s="286"/>
      <c r="V86" s="286"/>
      <c r="W86" s="286"/>
      <c r="X86" s="286"/>
      <c r="Y86" s="727"/>
      <c r="Z86" s="727"/>
      <c r="AA86" s="293"/>
      <c r="AB86" s="293"/>
      <c r="AC86" s="288"/>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279"/>
      <c r="FF86" s="279"/>
      <c r="FG86" s="279"/>
      <c r="FH86" s="279"/>
      <c r="FI86" s="279"/>
      <c r="FJ86" s="279"/>
      <c r="FK86" s="279"/>
      <c r="FL86" s="279"/>
      <c r="FM86" s="279"/>
      <c r="FN86" s="279"/>
      <c r="FO86" s="279"/>
      <c r="FP86" s="279"/>
      <c r="FQ86" s="279"/>
      <c r="FR86" s="279"/>
      <c r="FS86" s="279"/>
      <c r="FT86" s="279"/>
      <c r="FU86" s="279"/>
      <c r="FV86" s="279"/>
      <c r="FW86" s="279"/>
      <c r="FX86" s="279"/>
      <c r="FY86" s="279"/>
      <c r="FZ86" s="279"/>
      <c r="GA86" s="279"/>
      <c r="GB86" s="279"/>
      <c r="GC86" s="279"/>
      <c r="GD86" s="279"/>
      <c r="GE86" s="279"/>
      <c r="GF86" s="279"/>
      <c r="GG86" s="279"/>
      <c r="GH86" s="279"/>
      <c r="GI86" s="279"/>
      <c r="GJ86" s="279"/>
      <c r="GK86" s="279"/>
      <c r="GL86" s="279"/>
      <c r="GM86" s="279"/>
      <c r="GN86" s="279"/>
      <c r="GO86" s="279"/>
      <c r="GP86" s="279"/>
      <c r="GQ86" s="279"/>
      <c r="GR86" s="280"/>
      <c r="GS86" s="280"/>
      <c r="GT86" s="280"/>
      <c r="GU86" s="280"/>
      <c r="GV86" s="280"/>
    </row>
    <row r="87" spans="1:204" ht="15.75" x14ac:dyDescent="0.25">
      <c r="A87" s="285"/>
      <c r="B87" s="292"/>
      <c r="C87" s="292"/>
      <c r="D87" s="292"/>
      <c r="E87" s="292"/>
      <c r="F87" s="292"/>
      <c r="G87" s="292"/>
      <c r="H87" s="292"/>
      <c r="I87" s="286" t="s">
        <v>177</v>
      </c>
      <c r="J87" s="292"/>
      <c r="K87" s="417"/>
      <c r="L87" s="417"/>
      <c r="M87" s="355"/>
      <c r="N87" s="339"/>
      <c r="O87" s="339"/>
      <c r="P87" s="339"/>
      <c r="Q87" s="339"/>
      <c r="R87" s="690" t="s">
        <v>370</v>
      </c>
      <c r="S87" s="690"/>
      <c r="T87" s="690"/>
      <c r="U87" s="690"/>
      <c r="V87" s="690"/>
      <c r="W87" s="690"/>
      <c r="X87" s="690"/>
      <c r="Y87" s="727"/>
      <c r="Z87" s="727"/>
      <c r="AA87" s="293"/>
      <c r="AB87" s="293"/>
      <c r="AC87" s="288"/>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c r="DM87" s="279"/>
      <c r="DN87" s="279"/>
      <c r="DO87" s="279"/>
      <c r="DP87" s="279"/>
      <c r="DQ87" s="279"/>
      <c r="DR87" s="279"/>
      <c r="DS87" s="279"/>
      <c r="DT87" s="279"/>
      <c r="DU87" s="279"/>
      <c r="DV87" s="279"/>
      <c r="DW87" s="279"/>
      <c r="DX87" s="279"/>
      <c r="DY87" s="279"/>
      <c r="DZ87" s="279"/>
      <c r="EA87" s="279"/>
      <c r="EB87" s="279"/>
      <c r="EC87" s="279"/>
      <c r="ED87" s="279"/>
      <c r="EE87" s="279"/>
      <c r="EF87" s="279"/>
      <c r="EG87" s="279"/>
      <c r="EH87" s="279"/>
      <c r="EI87" s="279"/>
      <c r="EJ87" s="279"/>
      <c r="EK87" s="279"/>
      <c r="EL87" s="279"/>
      <c r="EM87" s="279"/>
      <c r="EN87" s="279"/>
      <c r="EO87" s="279"/>
      <c r="EP87" s="279"/>
      <c r="EQ87" s="279"/>
      <c r="ER87" s="279"/>
      <c r="ES87" s="279"/>
      <c r="ET87" s="279"/>
      <c r="EU87" s="279"/>
      <c r="EV87" s="279"/>
      <c r="EW87" s="279"/>
      <c r="EX87" s="279"/>
      <c r="EY87" s="279"/>
      <c r="EZ87" s="279"/>
      <c r="FA87" s="279"/>
      <c r="FB87" s="279"/>
      <c r="FC87" s="279"/>
      <c r="FD87" s="279"/>
      <c r="FE87" s="279"/>
      <c r="FF87" s="279"/>
      <c r="FG87" s="279"/>
      <c r="FH87" s="279"/>
      <c r="FI87" s="279"/>
      <c r="FJ87" s="279"/>
      <c r="FK87" s="279"/>
      <c r="FL87" s="279"/>
      <c r="FM87" s="279"/>
      <c r="FN87" s="279"/>
      <c r="FO87" s="279"/>
      <c r="FP87" s="279"/>
      <c r="FQ87" s="279"/>
      <c r="FR87" s="279"/>
      <c r="FS87" s="279"/>
      <c r="FT87" s="279"/>
      <c r="FU87" s="279"/>
      <c r="FV87" s="279"/>
      <c r="FW87" s="279"/>
      <c r="FX87" s="279"/>
      <c r="FY87" s="279"/>
      <c r="FZ87" s="279"/>
      <c r="GA87" s="279"/>
      <c r="GB87" s="279"/>
      <c r="GC87" s="279"/>
      <c r="GD87" s="279"/>
      <c r="GE87" s="279"/>
      <c r="GF87" s="279"/>
      <c r="GG87" s="279"/>
      <c r="GH87" s="279"/>
      <c r="GI87" s="279"/>
      <c r="GJ87" s="279"/>
      <c r="GK87" s="279"/>
      <c r="GL87" s="279"/>
      <c r="GM87" s="279"/>
      <c r="GN87" s="279"/>
      <c r="GO87" s="279"/>
      <c r="GP87" s="279"/>
      <c r="GQ87" s="279"/>
      <c r="GR87" s="280"/>
      <c r="GS87" s="280"/>
      <c r="GT87" s="280"/>
      <c r="GU87" s="280"/>
      <c r="GV87" s="280"/>
    </row>
    <row r="88" spans="1:204" ht="3.6" customHeight="1" thickBot="1" x14ac:dyDescent="0.3">
      <c r="A88" s="285"/>
      <c r="B88" s="293"/>
      <c r="C88" s="342"/>
      <c r="D88" s="286"/>
      <c r="E88" s="286"/>
      <c r="F88" s="292"/>
      <c r="G88" s="292"/>
      <c r="H88" s="292"/>
      <c r="I88" s="292"/>
      <c r="J88" s="292"/>
      <c r="K88" s="418"/>
      <c r="L88" s="418"/>
      <c r="M88" s="286"/>
      <c r="N88" s="286"/>
      <c r="O88" s="286"/>
      <c r="P88" s="286"/>
      <c r="Q88" s="286"/>
      <c r="R88" s="286"/>
      <c r="S88" s="286"/>
      <c r="T88" s="286"/>
      <c r="U88" s="286"/>
      <c r="V88" s="286"/>
      <c r="W88" s="286"/>
      <c r="X88" s="286"/>
      <c r="Y88" s="293"/>
      <c r="Z88" s="293"/>
      <c r="AA88" s="293"/>
      <c r="AB88" s="293"/>
      <c r="AC88" s="288"/>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c r="EA88" s="279"/>
      <c r="EB88" s="279"/>
      <c r="EC88" s="279"/>
      <c r="ED88" s="279"/>
      <c r="EE88" s="279"/>
      <c r="EF88" s="279"/>
      <c r="EG88" s="279"/>
      <c r="EH88" s="279"/>
      <c r="EI88" s="279"/>
      <c r="EJ88" s="279"/>
      <c r="EK88" s="279"/>
      <c r="EL88" s="279"/>
      <c r="EM88" s="279"/>
      <c r="EN88" s="279"/>
      <c r="EO88" s="279"/>
      <c r="EP88" s="279"/>
      <c r="EQ88" s="279"/>
      <c r="ER88" s="279"/>
      <c r="ES88" s="279"/>
      <c r="ET88" s="279"/>
      <c r="EU88" s="279"/>
      <c r="EV88" s="279"/>
      <c r="EW88" s="279"/>
      <c r="EX88" s="279"/>
      <c r="EY88" s="279"/>
      <c r="EZ88" s="279"/>
      <c r="FA88" s="279"/>
      <c r="FB88" s="279"/>
      <c r="FC88" s="279"/>
      <c r="FD88" s="279"/>
      <c r="FE88" s="279"/>
      <c r="FF88" s="279"/>
      <c r="FG88" s="279"/>
      <c r="FH88" s="279"/>
      <c r="FI88" s="279"/>
      <c r="FJ88" s="279"/>
      <c r="FK88" s="279"/>
      <c r="FL88" s="279"/>
      <c r="FM88" s="279"/>
      <c r="FN88" s="279"/>
      <c r="FO88" s="279"/>
      <c r="FP88" s="279"/>
      <c r="FQ88" s="279"/>
      <c r="FR88" s="279"/>
      <c r="FS88" s="279"/>
      <c r="FT88" s="279"/>
      <c r="FU88" s="279"/>
      <c r="FV88" s="279"/>
      <c r="FW88" s="279"/>
      <c r="FX88" s="279"/>
      <c r="FY88" s="279"/>
      <c r="FZ88" s="279"/>
      <c r="GA88" s="279"/>
      <c r="GB88" s="279"/>
      <c r="GC88" s="279"/>
      <c r="GD88" s="279"/>
      <c r="GE88" s="279"/>
      <c r="GF88" s="279"/>
      <c r="GG88" s="279"/>
      <c r="GH88" s="279"/>
      <c r="GI88" s="279"/>
      <c r="GJ88" s="279"/>
      <c r="GK88" s="279"/>
      <c r="GL88" s="279"/>
      <c r="GM88" s="279"/>
      <c r="GN88" s="279"/>
      <c r="GO88" s="279"/>
      <c r="GP88" s="279"/>
      <c r="GQ88" s="279"/>
      <c r="GR88" s="280"/>
      <c r="GS88" s="280"/>
      <c r="GT88" s="280"/>
      <c r="GU88" s="280"/>
      <c r="GV88" s="280"/>
    </row>
    <row r="89" spans="1:204" ht="27.6" customHeight="1" thickBot="1" x14ac:dyDescent="0.3">
      <c r="A89" s="285"/>
      <c r="B89" s="708" t="s">
        <v>317</v>
      </c>
      <c r="C89" s="708"/>
      <c r="D89" s="708"/>
      <c r="E89" s="708"/>
      <c r="F89" s="708"/>
      <c r="G89" s="292"/>
      <c r="H89" s="292"/>
      <c r="I89" s="395"/>
      <c r="J89" s="292"/>
      <c r="K89" s="658" t="s">
        <v>180</v>
      </c>
      <c r="L89" s="660"/>
      <c r="M89" s="656" t="str">
        <f>IF(COUNTBLANK(I89:I91)&lt;2,"You can't choose more than one answer",IF(COUNTBLANK(I89:I91)=3,"You have to choose an answer",""))</f>
        <v/>
      </c>
      <c r="N89" s="656"/>
      <c r="O89" s="656"/>
      <c r="P89" s="432"/>
      <c r="Q89" s="432"/>
      <c r="R89" s="355"/>
      <c r="S89" s="293"/>
      <c r="T89" s="448">
        <v>5</v>
      </c>
      <c r="U89" s="724" t="s">
        <v>363</v>
      </c>
      <c r="V89" s="725"/>
      <c r="W89" s="726"/>
      <c r="X89" s="403">
        <f>IF(OR(T89=1,T89=2,T89=3,T89=4,T89=5,T89=6,T89=7,T89=8,T89=9,T89=10),T89*25000,0)</f>
        <v>125000</v>
      </c>
      <c r="Y89" s="293"/>
      <c r="Z89" s="287"/>
      <c r="AA89" s="379" t="s">
        <v>356</v>
      </c>
      <c r="AB89" s="295">
        <f>IF(AND(F83="",M83="",M89="",Y83="",B92=""),ROUND(Y80/1000*V80,2),0)</f>
        <v>10.5</v>
      </c>
      <c r="AC89" s="288"/>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279"/>
      <c r="FF89" s="279"/>
      <c r="FG89" s="279"/>
      <c r="FH89" s="279"/>
      <c r="FI89" s="279"/>
      <c r="FJ89" s="279"/>
      <c r="FK89" s="279"/>
      <c r="FL89" s="279"/>
      <c r="FM89" s="279"/>
      <c r="FN89" s="279"/>
      <c r="FO89" s="279"/>
      <c r="FP89" s="279"/>
      <c r="FQ89" s="279"/>
      <c r="FR89" s="279"/>
      <c r="FS89" s="279"/>
      <c r="FT89" s="279"/>
      <c r="FU89" s="279"/>
      <c r="FV89" s="279"/>
      <c r="FW89" s="279"/>
      <c r="FX89" s="279"/>
      <c r="FY89" s="279"/>
      <c r="FZ89" s="279"/>
      <c r="GA89" s="279"/>
      <c r="GB89" s="279"/>
      <c r="GC89" s="279"/>
      <c r="GD89" s="279"/>
      <c r="GE89" s="279"/>
      <c r="GF89" s="279"/>
      <c r="GG89" s="279"/>
      <c r="GH89" s="279"/>
      <c r="GI89" s="279"/>
      <c r="GJ89" s="279"/>
      <c r="GK89" s="279"/>
      <c r="GL89" s="279"/>
      <c r="GM89" s="279"/>
      <c r="GN89" s="279"/>
      <c r="GO89" s="279"/>
      <c r="GP89" s="279"/>
      <c r="GQ89" s="279"/>
      <c r="GR89" s="280"/>
      <c r="GS89" s="280"/>
      <c r="GT89" s="280"/>
      <c r="GU89" s="280"/>
      <c r="GV89" s="280"/>
    </row>
    <row r="90" spans="1:204" ht="3" customHeight="1" thickBot="1" x14ac:dyDescent="0.3">
      <c r="A90" s="285"/>
      <c r="B90" s="357"/>
      <c r="C90" s="357"/>
      <c r="D90" s="357"/>
      <c r="E90" s="357"/>
      <c r="F90" s="357"/>
      <c r="G90" s="357"/>
      <c r="H90" s="286"/>
      <c r="I90" s="396"/>
      <c r="J90" s="286"/>
      <c r="K90" s="417"/>
      <c r="L90" s="417"/>
      <c r="M90" s="656"/>
      <c r="N90" s="656"/>
      <c r="O90" s="656"/>
      <c r="P90" s="432"/>
      <c r="Q90" s="432"/>
      <c r="R90" s="356"/>
      <c r="S90" s="291"/>
      <c r="T90" s="324"/>
      <c r="U90" s="324"/>
      <c r="V90" s="286"/>
      <c r="W90" s="286"/>
      <c r="X90" s="286"/>
      <c r="Y90" s="293"/>
      <c r="Z90" s="286"/>
      <c r="AA90" s="286"/>
      <c r="AB90" s="293"/>
      <c r="AC90" s="288"/>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279"/>
      <c r="FF90" s="279"/>
      <c r="FG90" s="279"/>
      <c r="FH90" s="279"/>
      <c r="FI90" s="279"/>
      <c r="FJ90" s="279"/>
      <c r="FK90" s="279"/>
      <c r="FL90" s="279"/>
      <c r="FM90" s="279"/>
      <c r="FN90" s="279"/>
      <c r="FO90" s="279"/>
      <c r="FP90" s="279"/>
      <c r="FQ90" s="279"/>
      <c r="FR90" s="279"/>
      <c r="FS90" s="279"/>
      <c r="FT90" s="279"/>
      <c r="FU90" s="279"/>
      <c r="FV90" s="279"/>
      <c r="FW90" s="279"/>
      <c r="FX90" s="279"/>
      <c r="FY90" s="279"/>
      <c r="FZ90" s="279"/>
      <c r="GA90" s="279"/>
      <c r="GB90" s="279"/>
      <c r="GC90" s="279"/>
      <c r="GD90" s="279"/>
      <c r="GE90" s="279"/>
      <c r="GF90" s="279"/>
      <c r="GG90" s="279"/>
      <c r="GH90" s="279"/>
      <c r="GI90" s="279"/>
      <c r="GJ90" s="279"/>
      <c r="GK90" s="279"/>
      <c r="GL90" s="279"/>
      <c r="GM90" s="279"/>
      <c r="GN90" s="279"/>
      <c r="GO90" s="279"/>
      <c r="GP90" s="279"/>
      <c r="GQ90" s="279"/>
      <c r="GR90" s="280"/>
      <c r="GS90" s="280"/>
      <c r="GT90" s="280"/>
      <c r="GU90" s="280"/>
      <c r="GV90" s="280"/>
    </row>
    <row r="91" spans="1:204" ht="21.75" customHeight="1" thickBot="1" x14ac:dyDescent="0.3">
      <c r="A91" s="285"/>
      <c r="B91" s="553">
        <f>IF(I4&gt;0,I4,"")</f>
        <v>60</v>
      </c>
      <c r="C91" s="550" t="s">
        <v>181</v>
      </c>
      <c r="D91" s="498"/>
      <c r="E91" s="386"/>
      <c r="F91" s="387"/>
      <c r="G91" s="357"/>
      <c r="H91" s="286"/>
      <c r="I91" s="395" t="s">
        <v>336</v>
      </c>
      <c r="J91" s="286"/>
      <c r="K91" s="658" t="s">
        <v>182</v>
      </c>
      <c r="L91" s="660"/>
      <c r="M91" s="656"/>
      <c r="N91" s="656"/>
      <c r="O91" s="656"/>
      <c r="P91" s="432"/>
      <c r="Q91" s="432"/>
      <c r="R91" s="356"/>
      <c r="S91" s="291"/>
      <c r="T91" s="324"/>
      <c r="U91" s="324"/>
      <c r="V91" s="286"/>
      <c r="W91" s="286"/>
      <c r="X91" s="286"/>
      <c r="Y91" s="293"/>
      <c r="Z91" s="293"/>
      <c r="AA91" s="379" t="s">
        <v>357</v>
      </c>
      <c r="AB91" s="295">
        <f>AB89*26</f>
        <v>273</v>
      </c>
      <c r="AC91" s="288"/>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279"/>
      <c r="DM91" s="279"/>
      <c r="DN91" s="279"/>
      <c r="DO91" s="279"/>
      <c r="DP91" s="279"/>
      <c r="DQ91" s="279"/>
      <c r="DR91" s="279"/>
      <c r="DS91" s="279"/>
      <c r="DT91" s="279"/>
      <c r="DU91" s="279"/>
      <c r="DV91" s="279"/>
      <c r="DW91" s="279"/>
      <c r="DX91" s="279"/>
      <c r="DY91" s="279"/>
      <c r="DZ91" s="279"/>
      <c r="EA91" s="279"/>
      <c r="EB91" s="279"/>
      <c r="EC91" s="279"/>
      <c r="ED91" s="279"/>
      <c r="EE91" s="279"/>
      <c r="EF91" s="279"/>
      <c r="EG91" s="279"/>
      <c r="EH91" s="279"/>
      <c r="EI91" s="279"/>
      <c r="EJ91" s="279"/>
      <c r="EK91" s="279"/>
      <c r="EL91" s="279"/>
      <c r="EM91" s="279"/>
      <c r="EN91" s="279"/>
      <c r="EO91" s="279"/>
      <c r="EP91" s="279"/>
      <c r="EQ91" s="279"/>
      <c r="ER91" s="279"/>
      <c r="ES91" s="279"/>
      <c r="ET91" s="279"/>
      <c r="EU91" s="279"/>
      <c r="EV91" s="279"/>
      <c r="EW91" s="279"/>
      <c r="EX91" s="279"/>
      <c r="EY91" s="279"/>
      <c r="EZ91" s="279"/>
      <c r="FA91" s="279"/>
      <c r="FB91" s="279"/>
      <c r="FC91" s="279"/>
      <c r="FD91" s="279"/>
      <c r="FE91" s="279"/>
      <c r="FF91" s="279"/>
      <c r="FG91" s="279"/>
      <c r="FH91" s="279"/>
      <c r="FI91" s="279"/>
      <c r="FJ91" s="279"/>
      <c r="FK91" s="279"/>
      <c r="FL91" s="279"/>
      <c r="FM91" s="279"/>
      <c r="FN91" s="279"/>
      <c r="FO91" s="279"/>
      <c r="FP91" s="279"/>
      <c r="FQ91" s="279"/>
      <c r="FR91" s="279"/>
      <c r="FS91" s="279"/>
      <c r="FT91" s="279"/>
      <c r="FU91" s="279"/>
      <c r="FV91" s="279"/>
      <c r="FW91" s="279"/>
      <c r="FX91" s="279"/>
      <c r="FY91" s="279"/>
      <c r="FZ91" s="279"/>
      <c r="GA91" s="279"/>
      <c r="GB91" s="279"/>
      <c r="GC91" s="279"/>
      <c r="GD91" s="279"/>
      <c r="GE91" s="279"/>
      <c r="GF91" s="279"/>
      <c r="GG91" s="279"/>
      <c r="GH91" s="279"/>
      <c r="GI91" s="279"/>
      <c r="GJ91" s="279"/>
      <c r="GK91" s="279"/>
      <c r="GL91" s="279"/>
      <c r="GM91" s="279"/>
      <c r="GN91" s="279"/>
      <c r="GO91" s="279"/>
      <c r="GP91" s="279"/>
      <c r="GQ91" s="279"/>
      <c r="GR91" s="280"/>
      <c r="GS91" s="280"/>
      <c r="GT91" s="280"/>
      <c r="GU91" s="280"/>
      <c r="GV91" s="280"/>
    </row>
    <row r="92" spans="1:204" ht="15.75" x14ac:dyDescent="0.25">
      <c r="A92" s="285"/>
      <c r="B92" s="705" t="str">
        <f>IF(B91&gt;=70,"Optional Life Insurance is no longer available after age 70.","")</f>
        <v/>
      </c>
      <c r="C92" s="705"/>
      <c r="D92" s="705"/>
      <c r="E92" s="705"/>
      <c r="F92" s="705"/>
      <c r="G92" s="705"/>
      <c r="H92" s="705"/>
      <c r="I92" s="705"/>
      <c r="J92" s="705"/>
      <c r="K92" s="705"/>
      <c r="L92" s="705"/>
      <c r="M92" s="705"/>
      <c r="N92" s="705"/>
      <c r="O92" s="705"/>
      <c r="P92" s="705"/>
      <c r="Q92" s="705"/>
      <c r="R92" s="705"/>
      <c r="S92" s="705"/>
      <c r="T92" s="705"/>
      <c r="U92" s="705"/>
      <c r="V92" s="705"/>
      <c r="W92" s="286"/>
      <c r="X92" s="286"/>
      <c r="Y92" s="286"/>
      <c r="Z92" s="293"/>
      <c r="AA92" s="294"/>
      <c r="AB92" s="576" t="str">
        <f xml:space="preserve"> IF(AB89&gt;0,"This cost takes into account a 50 % premium reduction but does not include the 9 % sales tax","")</f>
        <v>This cost takes into account a 50 % premium reduction but does not include the 9 % sales tax</v>
      </c>
      <c r="AC92" s="288"/>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c r="DO92" s="279"/>
      <c r="DP92" s="279"/>
      <c r="DQ92" s="279"/>
      <c r="DR92" s="279"/>
      <c r="DS92" s="279"/>
      <c r="DT92" s="279"/>
      <c r="DU92" s="279"/>
      <c r="DV92" s="279"/>
      <c r="DW92" s="279"/>
      <c r="DX92" s="279"/>
      <c r="DY92" s="279"/>
      <c r="DZ92" s="279"/>
      <c r="EA92" s="279"/>
      <c r="EB92" s="279"/>
      <c r="EC92" s="279"/>
      <c r="ED92" s="279"/>
      <c r="EE92" s="279"/>
      <c r="EF92" s="279"/>
      <c r="EG92" s="279"/>
      <c r="EH92" s="279"/>
      <c r="EI92" s="279"/>
      <c r="EJ92" s="279"/>
      <c r="EK92" s="279"/>
      <c r="EL92" s="279"/>
      <c r="EM92" s="279"/>
      <c r="EN92" s="279"/>
      <c r="EO92" s="279"/>
      <c r="EP92" s="279"/>
      <c r="EQ92" s="279"/>
      <c r="ER92" s="279"/>
      <c r="ES92" s="279"/>
      <c r="ET92" s="279"/>
      <c r="EU92" s="279"/>
      <c r="EV92" s="279"/>
      <c r="EW92" s="279"/>
      <c r="EX92" s="279"/>
      <c r="EY92" s="279"/>
      <c r="EZ92" s="279"/>
      <c r="FA92" s="279"/>
      <c r="FB92" s="279"/>
      <c r="FC92" s="279"/>
      <c r="FD92" s="279"/>
      <c r="FE92" s="279"/>
      <c r="FF92" s="279"/>
      <c r="FG92" s="279"/>
      <c r="FH92" s="279"/>
      <c r="FI92" s="279"/>
      <c r="FJ92" s="279"/>
      <c r="FK92" s="279"/>
      <c r="FL92" s="279"/>
      <c r="FM92" s="279"/>
      <c r="FN92" s="279"/>
      <c r="FO92" s="279"/>
      <c r="FP92" s="279"/>
      <c r="FQ92" s="279"/>
      <c r="FR92" s="279"/>
      <c r="FS92" s="279"/>
      <c r="FT92" s="279"/>
      <c r="FU92" s="279"/>
      <c r="FV92" s="279"/>
      <c r="FW92" s="279"/>
      <c r="FX92" s="279"/>
      <c r="FY92" s="279"/>
      <c r="FZ92" s="279"/>
      <c r="GA92" s="279"/>
      <c r="GB92" s="279"/>
      <c r="GC92" s="279"/>
      <c r="GD92" s="279"/>
      <c r="GE92" s="279"/>
      <c r="GF92" s="279"/>
      <c r="GG92" s="279"/>
      <c r="GH92" s="279"/>
      <c r="GI92" s="279"/>
      <c r="GJ92" s="279"/>
      <c r="GK92" s="279"/>
      <c r="GL92" s="279"/>
      <c r="GM92" s="279"/>
      <c r="GN92" s="279"/>
      <c r="GO92" s="279"/>
      <c r="GP92" s="279"/>
      <c r="GQ92" s="279"/>
      <c r="GR92" s="280"/>
      <c r="GS92" s="280"/>
      <c r="GT92" s="280"/>
      <c r="GU92" s="280"/>
      <c r="GV92" s="280"/>
    </row>
    <row r="93" spans="1:204" ht="5.25" customHeight="1" x14ac:dyDescent="0.25">
      <c r="A93" s="285"/>
      <c r="B93" s="377"/>
      <c r="C93" s="377"/>
      <c r="D93" s="377"/>
      <c r="E93" s="377"/>
      <c r="F93" s="377"/>
      <c r="G93" s="377"/>
      <c r="H93" s="377"/>
      <c r="I93" s="377"/>
      <c r="J93" s="377"/>
      <c r="K93" s="377"/>
      <c r="L93" s="377"/>
      <c r="M93" s="358"/>
      <c r="N93" s="358"/>
      <c r="O93" s="358"/>
      <c r="P93" s="358"/>
      <c r="Q93" s="358"/>
      <c r="R93" s="356"/>
      <c r="S93" s="709"/>
      <c r="T93" s="709"/>
      <c r="U93" s="709"/>
      <c r="V93" s="709"/>
      <c r="W93" s="709"/>
      <c r="X93" s="709"/>
      <c r="Y93" s="286"/>
      <c r="Z93" s="293"/>
      <c r="AA93" s="293"/>
      <c r="AB93" s="287"/>
      <c r="AC93" s="288"/>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c r="EA93" s="279"/>
      <c r="EB93" s="279"/>
      <c r="EC93" s="279"/>
      <c r="ED93" s="279"/>
      <c r="EE93" s="279"/>
      <c r="EF93" s="279"/>
      <c r="EG93" s="279"/>
      <c r="EH93" s="279"/>
      <c r="EI93" s="279"/>
      <c r="EJ93" s="279"/>
      <c r="EK93" s="279"/>
      <c r="EL93" s="279"/>
      <c r="EM93" s="279"/>
      <c r="EN93" s="279"/>
      <c r="EO93" s="279"/>
      <c r="EP93" s="279"/>
      <c r="EQ93" s="279"/>
      <c r="ER93" s="279"/>
      <c r="ES93" s="279"/>
      <c r="ET93" s="279"/>
      <c r="EU93" s="279"/>
      <c r="EV93" s="279"/>
      <c r="EW93" s="279"/>
      <c r="EX93" s="279"/>
      <c r="EY93" s="279"/>
      <c r="EZ93" s="279"/>
      <c r="FA93" s="279"/>
      <c r="FB93" s="279"/>
      <c r="FC93" s="279"/>
      <c r="FD93" s="279"/>
      <c r="FE93" s="279"/>
      <c r="FF93" s="279"/>
      <c r="FG93" s="279"/>
      <c r="FH93" s="279"/>
      <c r="FI93" s="279"/>
      <c r="FJ93" s="279"/>
      <c r="FK93" s="279"/>
      <c r="FL93" s="279"/>
      <c r="FM93" s="279"/>
      <c r="FN93" s="279"/>
      <c r="FO93" s="279"/>
      <c r="FP93" s="279"/>
      <c r="FQ93" s="279"/>
      <c r="FR93" s="279"/>
      <c r="FS93" s="279"/>
      <c r="FT93" s="279"/>
      <c r="FU93" s="279"/>
      <c r="FV93" s="279"/>
      <c r="FW93" s="279"/>
      <c r="FX93" s="279"/>
      <c r="FY93" s="279"/>
      <c r="FZ93" s="279"/>
      <c r="GA93" s="279"/>
      <c r="GB93" s="279"/>
      <c r="GC93" s="279"/>
      <c r="GD93" s="279"/>
      <c r="GE93" s="279"/>
      <c r="GF93" s="279"/>
      <c r="GG93" s="279"/>
      <c r="GH93" s="279"/>
      <c r="GI93" s="279"/>
      <c r="GJ93" s="279"/>
      <c r="GK93" s="279"/>
      <c r="GL93" s="279"/>
      <c r="GM93" s="279"/>
      <c r="GN93" s="279"/>
      <c r="GO93" s="279"/>
      <c r="GP93" s="279"/>
      <c r="GQ93" s="279"/>
      <c r="GR93" s="280"/>
      <c r="GS93" s="280"/>
      <c r="GT93" s="280"/>
      <c r="GU93" s="280"/>
      <c r="GV93" s="280"/>
    </row>
    <row r="94" spans="1:204" ht="5.25" customHeight="1" x14ac:dyDescent="0.25">
      <c r="A94" s="359"/>
      <c r="B94" s="360"/>
      <c r="C94" s="360"/>
      <c r="D94" s="360"/>
      <c r="E94" s="360"/>
      <c r="F94" s="360"/>
      <c r="G94" s="360"/>
      <c r="H94" s="360"/>
      <c r="I94" s="360"/>
      <c r="J94" s="360"/>
      <c r="K94" s="360"/>
      <c r="L94" s="360"/>
      <c r="M94" s="360"/>
      <c r="N94" s="360"/>
      <c r="O94" s="360"/>
      <c r="P94" s="360"/>
      <c r="Q94" s="360"/>
      <c r="R94" s="361"/>
      <c r="S94" s="361"/>
      <c r="T94" s="361"/>
      <c r="U94" s="361"/>
      <c r="V94" s="361"/>
      <c r="W94" s="361"/>
      <c r="X94" s="361"/>
      <c r="Y94" s="362"/>
      <c r="Z94" s="362"/>
      <c r="AA94" s="362"/>
      <c r="AB94" s="362"/>
      <c r="AC94" s="363"/>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c r="DO94" s="279"/>
      <c r="DP94" s="279"/>
      <c r="DQ94" s="279"/>
      <c r="DR94" s="279"/>
      <c r="DS94" s="279"/>
      <c r="DT94" s="279"/>
      <c r="DU94" s="279"/>
      <c r="DV94" s="279"/>
      <c r="DW94" s="279"/>
      <c r="DX94" s="279"/>
      <c r="DY94" s="279"/>
      <c r="DZ94" s="279"/>
      <c r="EA94" s="279"/>
      <c r="EB94" s="279"/>
      <c r="EC94" s="279"/>
      <c r="ED94" s="279"/>
      <c r="EE94" s="279"/>
      <c r="EF94" s="279"/>
      <c r="EG94" s="279"/>
      <c r="EH94" s="279"/>
      <c r="EI94" s="279"/>
      <c r="EJ94" s="279"/>
      <c r="EK94" s="279"/>
      <c r="EL94" s="279"/>
      <c r="EM94" s="279"/>
      <c r="EN94" s="279"/>
      <c r="EO94" s="279"/>
      <c r="EP94" s="279"/>
      <c r="EQ94" s="279"/>
      <c r="ER94" s="279"/>
      <c r="ES94" s="279"/>
      <c r="ET94" s="279"/>
      <c r="EU94" s="279"/>
      <c r="EV94" s="279"/>
      <c r="EW94" s="279"/>
      <c r="EX94" s="279"/>
      <c r="EY94" s="279"/>
      <c r="EZ94" s="279"/>
      <c r="FA94" s="279"/>
      <c r="FB94" s="279"/>
      <c r="FC94" s="279"/>
      <c r="FD94" s="279"/>
      <c r="FE94" s="279"/>
      <c r="FF94" s="279"/>
      <c r="FG94" s="279"/>
      <c r="FH94" s="279"/>
      <c r="FI94" s="279"/>
      <c r="FJ94" s="279"/>
      <c r="FK94" s="279"/>
      <c r="FL94" s="279"/>
      <c r="FM94" s="279"/>
      <c r="FN94" s="279"/>
      <c r="FO94" s="279"/>
      <c r="FP94" s="279"/>
      <c r="FQ94" s="279"/>
      <c r="FR94" s="279"/>
      <c r="FS94" s="279"/>
      <c r="FT94" s="279"/>
      <c r="FU94" s="279"/>
      <c r="FV94" s="279"/>
      <c r="FW94" s="279"/>
      <c r="FX94" s="279"/>
      <c r="FY94" s="279"/>
      <c r="FZ94" s="279"/>
      <c r="GA94" s="279"/>
      <c r="GB94" s="279"/>
      <c r="GC94" s="279"/>
      <c r="GD94" s="279"/>
      <c r="GE94" s="279"/>
      <c r="GF94" s="279"/>
      <c r="GG94" s="279"/>
      <c r="GH94" s="279"/>
      <c r="GI94" s="279"/>
      <c r="GJ94" s="279"/>
      <c r="GK94" s="279"/>
      <c r="GL94" s="279"/>
      <c r="GM94" s="279"/>
      <c r="GN94" s="279"/>
      <c r="GO94" s="279"/>
      <c r="GP94" s="279"/>
      <c r="GQ94" s="279"/>
      <c r="GR94" s="280"/>
      <c r="GS94" s="280"/>
      <c r="GT94" s="280"/>
      <c r="GU94" s="280"/>
      <c r="GV94" s="280"/>
    </row>
    <row r="95" spans="1:204" ht="21.75" thickBot="1" x14ac:dyDescent="0.4">
      <c r="A95" s="285"/>
      <c r="B95" s="382" t="s">
        <v>173</v>
      </c>
      <c r="C95" s="321"/>
      <c r="D95" s="286"/>
      <c r="E95" s="286"/>
      <c r="F95" s="286"/>
      <c r="G95" s="286"/>
      <c r="H95" s="286"/>
      <c r="I95" s="286"/>
      <c r="J95" s="286"/>
      <c r="K95" s="286"/>
      <c r="L95" s="286"/>
      <c r="M95" s="286"/>
      <c r="N95" s="286"/>
      <c r="O95" s="286"/>
      <c r="P95" s="286"/>
      <c r="Q95" s="286"/>
      <c r="R95" s="325"/>
      <c r="S95" s="286"/>
      <c r="T95" s="286"/>
      <c r="U95" s="286"/>
      <c r="V95" s="286"/>
      <c r="W95" s="286"/>
      <c r="X95" s="286"/>
      <c r="Y95" s="293"/>
      <c r="Z95" s="293"/>
      <c r="AA95" s="293"/>
      <c r="AB95" s="293"/>
      <c r="AC95" s="288"/>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279"/>
      <c r="DE95" s="279"/>
      <c r="DF95" s="279"/>
      <c r="DG95" s="279"/>
      <c r="DH95" s="279"/>
      <c r="DI95" s="279"/>
      <c r="DJ95" s="279"/>
      <c r="DK95" s="279"/>
      <c r="DL95" s="279"/>
      <c r="DM95" s="279"/>
      <c r="DN95" s="279"/>
      <c r="DO95" s="279"/>
      <c r="DP95" s="279"/>
      <c r="DQ95" s="279"/>
      <c r="DR95" s="279"/>
      <c r="DS95" s="279"/>
      <c r="DT95" s="279"/>
      <c r="DU95" s="279"/>
      <c r="DV95" s="279"/>
      <c r="DW95" s="279"/>
      <c r="DX95" s="279"/>
      <c r="DY95" s="279"/>
      <c r="DZ95" s="279"/>
      <c r="EA95" s="279"/>
      <c r="EB95" s="279"/>
      <c r="EC95" s="279"/>
      <c r="ED95" s="279"/>
      <c r="EE95" s="279"/>
      <c r="EF95" s="279"/>
      <c r="EG95" s="279"/>
      <c r="EH95" s="279"/>
      <c r="EI95" s="279"/>
      <c r="EJ95" s="279"/>
      <c r="EK95" s="279"/>
      <c r="EL95" s="279"/>
      <c r="EM95" s="279"/>
      <c r="EN95" s="279"/>
      <c r="EO95" s="279"/>
      <c r="EP95" s="279"/>
      <c r="EQ95" s="279"/>
      <c r="ER95" s="279"/>
      <c r="ES95" s="279"/>
      <c r="ET95" s="279"/>
      <c r="EU95" s="279"/>
      <c r="EV95" s="279"/>
      <c r="EW95" s="279"/>
      <c r="EX95" s="279"/>
      <c r="EY95" s="279"/>
      <c r="EZ95" s="279"/>
      <c r="FA95" s="279"/>
      <c r="FB95" s="279"/>
      <c r="FC95" s="279"/>
      <c r="FD95" s="279"/>
      <c r="FE95" s="279"/>
      <c r="FF95" s="279"/>
      <c r="FG95" s="279"/>
      <c r="FH95" s="279"/>
      <c r="FI95" s="279"/>
      <c r="FJ95" s="279"/>
      <c r="FK95" s="279"/>
      <c r="FL95" s="279"/>
      <c r="FM95" s="279"/>
      <c r="FN95" s="279"/>
      <c r="FO95" s="279"/>
      <c r="FP95" s="279"/>
      <c r="FQ95" s="279"/>
      <c r="FR95" s="279"/>
      <c r="FS95" s="279"/>
      <c r="FT95" s="279"/>
      <c r="FU95" s="279"/>
      <c r="FV95" s="279"/>
      <c r="FW95" s="279"/>
      <c r="FX95" s="279"/>
      <c r="FY95" s="279"/>
      <c r="FZ95" s="279"/>
      <c r="GA95" s="279"/>
      <c r="GB95" s="279"/>
      <c r="GC95" s="279"/>
      <c r="GD95" s="279"/>
      <c r="GE95" s="279"/>
      <c r="GF95" s="279"/>
      <c r="GG95" s="279"/>
      <c r="GH95" s="279"/>
      <c r="GI95" s="279"/>
      <c r="GJ95" s="279"/>
      <c r="GK95" s="279"/>
      <c r="GL95" s="279"/>
      <c r="GM95" s="279"/>
      <c r="GN95" s="279"/>
      <c r="GO95" s="279"/>
      <c r="GP95" s="279"/>
      <c r="GQ95" s="279"/>
      <c r="GR95" s="280"/>
      <c r="GS95" s="280"/>
      <c r="GT95" s="280"/>
      <c r="GU95" s="280"/>
      <c r="GV95" s="280"/>
    </row>
    <row r="96" spans="1:204" ht="21.75" customHeight="1" thickBot="1" x14ac:dyDescent="0.4">
      <c r="A96" s="285"/>
      <c r="B96" s="385" t="s">
        <v>183</v>
      </c>
      <c r="C96" s="289"/>
      <c r="D96" s="286"/>
      <c r="E96" s="286"/>
      <c r="F96" s="286"/>
      <c r="G96" s="286"/>
      <c r="H96" s="286"/>
      <c r="I96" s="286"/>
      <c r="J96" s="286"/>
      <c r="K96" s="286"/>
      <c r="L96" s="286"/>
      <c r="M96" s="286"/>
      <c r="N96" s="286"/>
      <c r="O96" s="430"/>
      <c r="P96" s="430"/>
      <c r="Q96" s="430"/>
      <c r="R96" s="430"/>
      <c r="S96" s="430"/>
      <c r="T96" s="429"/>
      <c r="U96" s="433" t="s">
        <v>175</v>
      </c>
      <c r="V96" s="495">
        <f>'Taux anglais'!R52</f>
        <v>5.7000000000000002E-2</v>
      </c>
      <c r="W96" s="286"/>
      <c r="X96" s="388" t="s">
        <v>176</v>
      </c>
      <c r="Y96" s="403">
        <f>IF(AND(X99&gt;0,X105&gt;0),0,X99+X105)</f>
        <v>125000</v>
      </c>
      <c r="Z96" s="352"/>
      <c r="AA96" s="293"/>
      <c r="AB96" s="293"/>
      <c r="AC96" s="288"/>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279"/>
      <c r="DY96" s="279"/>
      <c r="DZ96" s="279"/>
      <c r="EA96" s="279"/>
      <c r="EB96" s="279"/>
      <c r="EC96" s="279"/>
      <c r="ED96" s="279"/>
      <c r="EE96" s="279"/>
      <c r="EF96" s="279"/>
      <c r="EG96" s="279"/>
      <c r="EH96" s="279"/>
      <c r="EI96" s="279"/>
      <c r="EJ96" s="279"/>
      <c r="EK96" s="279"/>
      <c r="EL96" s="279"/>
      <c r="EM96" s="279"/>
      <c r="EN96" s="279"/>
      <c r="EO96" s="279"/>
      <c r="EP96" s="279"/>
      <c r="EQ96" s="279"/>
      <c r="ER96" s="279"/>
      <c r="ES96" s="279"/>
      <c r="ET96" s="279"/>
      <c r="EU96" s="279"/>
      <c r="EV96" s="279"/>
      <c r="EW96" s="279"/>
      <c r="EX96" s="279"/>
      <c r="EY96" s="279"/>
      <c r="EZ96" s="279"/>
      <c r="FA96" s="279"/>
      <c r="FB96" s="279"/>
      <c r="FC96" s="279"/>
      <c r="FD96" s="279"/>
      <c r="FE96" s="279"/>
      <c r="FF96" s="279"/>
      <c r="FG96" s="279"/>
      <c r="FH96" s="279"/>
      <c r="FI96" s="279"/>
      <c r="FJ96" s="279"/>
      <c r="FK96" s="279"/>
      <c r="FL96" s="279"/>
      <c r="FM96" s="279"/>
      <c r="FN96" s="279"/>
      <c r="FO96" s="279"/>
      <c r="FP96" s="279"/>
      <c r="FQ96" s="279"/>
      <c r="FR96" s="279"/>
      <c r="FS96" s="279"/>
      <c r="FT96" s="279"/>
      <c r="FU96" s="279"/>
      <c r="FV96" s="279"/>
      <c r="FW96" s="279"/>
      <c r="FX96" s="279"/>
      <c r="FY96" s="279"/>
      <c r="FZ96" s="279"/>
      <c r="GA96" s="279"/>
      <c r="GB96" s="279"/>
      <c r="GC96" s="279"/>
      <c r="GD96" s="279"/>
      <c r="GE96" s="279"/>
      <c r="GF96" s="279"/>
      <c r="GG96" s="279"/>
      <c r="GH96" s="279"/>
      <c r="GI96" s="279"/>
      <c r="GJ96" s="279"/>
      <c r="GK96" s="279"/>
      <c r="GL96" s="279"/>
      <c r="GM96" s="279"/>
      <c r="GN96" s="279"/>
      <c r="GO96" s="279"/>
      <c r="GP96" s="279"/>
      <c r="GQ96" s="279"/>
      <c r="GR96" s="280"/>
      <c r="GS96" s="280"/>
      <c r="GT96" s="280"/>
      <c r="GU96" s="280"/>
      <c r="GV96" s="280"/>
    </row>
    <row r="97" spans="1:204" ht="21" x14ac:dyDescent="0.35">
      <c r="A97" s="285"/>
      <c r="B97" s="289"/>
      <c r="C97" s="289"/>
      <c r="D97" s="286"/>
      <c r="E97" s="286"/>
      <c r="F97" s="286"/>
      <c r="G97" s="286"/>
      <c r="H97" s="286"/>
      <c r="I97" s="286"/>
      <c r="J97" s="286"/>
      <c r="K97" s="286"/>
      <c r="L97" s="286"/>
      <c r="M97" s="286"/>
      <c r="N97" s="286"/>
      <c r="O97" s="353"/>
      <c r="P97" s="353"/>
      <c r="Q97" s="353"/>
      <c r="R97" s="353"/>
      <c r="S97" s="353"/>
      <c r="T97" s="353"/>
      <c r="U97" s="345"/>
      <c r="V97" s="286"/>
      <c r="W97" s="286"/>
      <c r="X97" s="342"/>
      <c r="Y97" s="352"/>
      <c r="Z97" s="352"/>
      <c r="AA97" s="293"/>
      <c r="AB97" s="293"/>
      <c r="AC97" s="288"/>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G97" s="279"/>
      <c r="FH97" s="279"/>
      <c r="FI97" s="279"/>
      <c r="FJ97" s="279"/>
      <c r="FK97" s="279"/>
      <c r="FL97" s="279"/>
      <c r="FM97" s="279"/>
      <c r="FN97" s="279"/>
      <c r="FO97" s="279"/>
      <c r="FP97" s="279"/>
      <c r="FQ97" s="279"/>
      <c r="FR97" s="279"/>
      <c r="FS97" s="279"/>
      <c r="FT97" s="279"/>
      <c r="FU97" s="279"/>
      <c r="FV97" s="279"/>
      <c r="FW97" s="279"/>
      <c r="FX97" s="279"/>
      <c r="FY97" s="279"/>
      <c r="FZ97" s="279"/>
      <c r="GA97" s="279"/>
      <c r="GB97" s="279"/>
      <c r="GC97" s="279"/>
      <c r="GD97" s="279"/>
      <c r="GE97" s="279"/>
      <c r="GF97" s="279"/>
      <c r="GG97" s="279"/>
      <c r="GH97" s="279"/>
      <c r="GI97" s="279"/>
      <c r="GJ97" s="279"/>
      <c r="GK97" s="279"/>
      <c r="GL97" s="279"/>
      <c r="GM97" s="279"/>
      <c r="GN97" s="279"/>
      <c r="GO97" s="279"/>
      <c r="GP97" s="279"/>
      <c r="GQ97" s="279"/>
      <c r="GR97" s="280"/>
      <c r="GS97" s="280"/>
      <c r="GT97" s="280"/>
      <c r="GU97" s="280"/>
      <c r="GV97" s="280"/>
    </row>
    <row r="98" spans="1:204" ht="15" customHeight="1" thickBot="1" x14ac:dyDescent="0.3">
      <c r="A98" s="285"/>
      <c r="B98" s="657" t="s">
        <v>342</v>
      </c>
      <c r="C98" s="657"/>
      <c r="D98" s="657"/>
      <c r="E98" s="657"/>
      <c r="F98" s="657"/>
      <c r="G98" s="657"/>
      <c r="H98" s="657"/>
      <c r="I98" s="354"/>
      <c r="J98" s="354"/>
      <c r="K98" s="286" t="s">
        <v>177</v>
      </c>
      <c r="L98" s="286"/>
      <c r="M98" s="286"/>
      <c r="N98" s="286"/>
      <c r="O98" s="286"/>
      <c r="P98" s="286"/>
      <c r="Q98" s="286"/>
      <c r="R98" s="690" t="s">
        <v>369</v>
      </c>
      <c r="S98" s="690"/>
      <c r="T98" s="690"/>
      <c r="U98" s="690"/>
      <c r="V98" s="690"/>
      <c r="W98" s="690"/>
      <c r="X98" s="690"/>
      <c r="Y98" s="293"/>
      <c r="Z98" s="293"/>
      <c r="AA98" s="293"/>
      <c r="AB98" s="293"/>
      <c r="AC98" s="288"/>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79"/>
      <c r="DB98" s="279"/>
      <c r="DC98" s="279"/>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G98" s="279"/>
      <c r="FH98" s="279"/>
      <c r="FI98" s="279"/>
      <c r="FJ98" s="279"/>
      <c r="FK98" s="279"/>
      <c r="FL98" s="279"/>
      <c r="FM98" s="279"/>
      <c r="FN98" s="279"/>
      <c r="FO98" s="279"/>
      <c r="FP98" s="279"/>
      <c r="FQ98" s="279"/>
      <c r="FR98" s="279"/>
      <c r="FS98" s="279"/>
      <c r="FT98" s="279"/>
      <c r="FU98" s="279"/>
      <c r="FV98" s="279"/>
      <c r="FW98" s="279"/>
      <c r="FX98" s="279"/>
      <c r="FY98" s="279"/>
      <c r="FZ98" s="279"/>
      <c r="GA98" s="279"/>
      <c r="GB98" s="279"/>
      <c r="GC98" s="279"/>
      <c r="GD98" s="279"/>
      <c r="GE98" s="279"/>
      <c r="GF98" s="279"/>
      <c r="GG98" s="279"/>
      <c r="GH98" s="279"/>
      <c r="GI98" s="279"/>
      <c r="GJ98" s="279"/>
      <c r="GK98" s="279"/>
      <c r="GL98" s="279"/>
      <c r="GM98" s="279"/>
      <c r="GN98" s="279"/>
      <c r="GO98" s="279"/>
      <c r="GP98" s="279"/>
      <c r="GQ98" s="279"/>
      <c r="GR98" s="280"/>
      <c r="GS98" s="280"/>
      <c r="GT98" s="280"/>
      <c r="GU98" s="280"/>
      <c r="GV98" s="280"/>
    </row>
    <row r="99" spans="1:204" ht="21.75" customHeight="1" thickBot="1" x14ac:dyDescent="0.3">
      <c r="A99" s="285"/>
      <c r="B99" s="395" t="s">
        <v>336</v>
      </c>
      <c r="C99" s="292"/>
      <c r="D99" s="658" t="s">
        <v>162</v>
      </c>
      <c r="E99" s="660"/>
      <c r="F99" s="656" t="str">
        <f>IF(COUNTBLANK(B99:B101)&lt;2,"You can't choose more than one answer",IF(COUNTBLANK(B99:B101)=3,"You have to choose an answer",""))</f>
        <v/>
      </c>
      <c r="G99" s="656"/>
      <c r="H99" s="656"/>
      <c r="I99" s="395"/>
      <c r="J99" s="292"/>
      <c r="K99" s="658" t="s">
        <v>178</v>
      </c>
      <c r="L99" s="660"/>
      <c r="M99" s="656" t="str">
        <f>IF(COUNTBLANK(I99:I101)&lt;2,"You can't choose more than one answer",IF(COUNTBLANK(I99:I101)=3,"You have to choose an answer",""))</f>
        <v/>
      </c>
      <c r="N99" s="656"/>
      <c r="O99" s="656"/>
      <c r="P99" s="432"/>
      <c r="Q99" s="432"/>
      <c r="R99" s="355"/>
      <c r="S99" s="293"/>
      <c r="T99" s="496"/>
      <c r="U99" s="724" t="s">
        <v>371</v>
      </c>
      <c r="V99" s="725"/>
      <c r="W99" s="726"/>
      <c r="X99" s="403">
        <f>IF(OR(T99=1,T99=2,T99=3,T99=4,T99=5,T99=6,T99=7),T99*20000,0)</f>
        <v>0</v>
      </c>
      <c r="Y99" s="727" t="str">
        <f>IF(AND(X99&gt;0,X105&gt;0),"If you change the amount of insurance you already have, you must take units of $25 000","")</f>
        <v/>
      </c>
      <c r="Z99" s="727"/>
      <c r="AA99" s="293"/>
      <c r="AB99" s="293"/>
      <c r="AC99" s="288"/>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279"/>
      <c r="DY99" s="279"/>
      <c r="DZ99" s="279"/>
      <c r="EA99" s="279"/>
      <c r="EB99" s="279"/>
      <c r="EC99" s="279"/>
      <c r="ED99" s="279"/>
      <c r="EE99" s="279"/>
      <c r="EF99" s="279"/>
      <c r="EG99" s="279"/>
      <c r="EH99" s="279"/>
      <c r="EI99" s="279"/>
      <c r="EJ99" s="279"/>
      <c r="EK99" s="279"/>
      <c r="EL99" s="279"/>
      <c r="EM99" s="279"/>
      <c r="EN99" s="279"/>
      <c r="EO99" s="279"/>
      <c r="EP99" s="279"/>
      <c r="EQ99" s="279"/>
      <c r="ER99" s="279"/>
      <c r="ES99" s="279"/>
      <c r="ET99" s="279"/>
      <c r="EU99" s="279"/>
      <c r="EV99" s="279"/>
      <c r="EW99" s="279"/>
      <c r="EX99" s="279"/>
      <c r="EY99" s="279"/>
      <c r="EZ99" s="279"/>
      <c r="FA99" s="279"/>
      <c r="FB99" s="279"/>
      <c r="FC99" s="279"/>
      <c r="FD99" s="279"/>
      <c r="FE99" s="279"/>
      <c r="FF99" s="279"/>
      <c r="FG99" s="279"/>
      <c r="FH99" s="279"/>
      <c r="FI99" s="279"/>
      <c r="FJ99" s="279"/>
      <c r="FK99" s="279"/>
      <c r="FL99" s="279"/>
      <c r="FM99" s="279"/>
      <c r="FN99" s="279"/>
      <c r="FO99" s="279"/>
      <c r="FP99" s="279"/>
      <c r="FQ99" s="279"/>
      <c r="FR99" s="279"/>
      <c r="FS99" s="279"/>
      <c r="FT99" s="279"/>
      <c r="FU99" s="279"/>
      <c r="FV99" s="279"/>
      <c r="FW99" s="279"/>
      <c r="FX99" s="279"/>
      <c r="FY99" s="279"/>
      <c r="FZ99" s="279"/>
      <c r="GA99" s="279"/>
      <c r="GB99" s="279"/>
      <c r="GC99" s="279"/>
      <c r="GD99" s="279"/>
      <c r="GE99" s="279"/>
      <c r="GF99" s="279"/>
      <c r="GG99" s="279"/>
      <c r="GH99" s="279"/>
      <c r="GI99" s="279"/>
      <c r="GJ99" s="279"/>
      <c r="GK99" s="279"/>
      <c r="GL99" s="279"/>
      <c r="GM99" s="279"/>
      <c r="GN99" s="279"/>
      <c r="GO99" s="279"/>
      <c r="GP99" s="279"/>
      <c r="GQ99" s="279"/>
      <c r="GR99" s="280"/>
      <c r="GS99" s="280"/>
      <c r="GT99" s="280"/>
      <c r="GU99" s="280"/>
      <c r="GV99" s="280"/>
    </row>
    <row r="100" spans="1:204" ht="4.5" customHeight="1" thickBot="1" x14ac:dyDescent="0.3">
      <c r="A100" s="285"/>
      <c r="B100" s="396"/>
      <c r="C100" s="342"/>
      <c r="D100" s="286"/>
      <c r="E100" s="286"/>
      <c r="F100" s="656"/>
      <c r="G100" s="656"/>
      <c r="H100" s="656"/>
      <c r="I100" s="399"/>
      <c r="J100" s="292"/>
      <c r="K100" s="418"/>
      <c r="L100" s="418"/>
      <c r="M100" s="656"/>
      <c r="N100" s="656"/>
      <c r="O100" s="656"/>
      <c r="P100" s="432"/>
      <c r="Q100" s="432"/>
      <c r="R100" s="356"/>
      <c r="S100" s="291"/>
      <c r="T100" s="291"/>
      <c r="U100" s="286"/>
      <c r="V100" s="286"/>
      <c r="W100" s="286"/>
      <c r="X100" s="286"/>
      <c r="Y100" s="727"/>
      <c r="Z100" s="727"/>
      <c r="AA100" s="293"/>
      <c r="AB100" s="293"/>
      <c r="AC100" s="288"/>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279"/>
      <c r="DY100" s="279"/>
      <c r="DZ100" s="279"/>
      <c r="EA100" s="279"/>
      <c r="EB100" s="279"/>
      <c r="EC100" s="279"/>
      <c r="ED100" s="279"/>
      <c r="EE100" s="279"/>
      <c r="EF100" s="279"/>
      <c r="EG100" s="279"/>
      <c r="EH100" s="279"/>
      <c r="EI100" s="279"/>
      <c r="EJ100" s="279"/>
      <c r="EK100" s="279"/>
      <c r="EL100" s="279"/>
      <c r="EM100" s="279"/>
      <c r="EN100" s="279"/>
      <c r="EO100" s="279"/>
      <c r="EP100" s="279"/>
      <c r="EQ100" s="279"/>
      <c r="ER100" s="279"/>
      <c r="ES100" s="279"/>
      <c r="ET100" s="279"/>
      <c r="EU100" s="279"/>
      <c r="EV100" s="279"/>
      <c r="EW100" s="279"/>
      <c r="EX100" s="279"/>
      <c r="EY100" s="279"/>
      <c r="EZ100" s="279"/>
      <c r="FA100" s="279"/>
      <c r="FB100" s="279"/>
      <c r="FC100" s="279"/>
      <c r="FD100" s="279"/>
      <c r="FE100" s="279"/>
      <c r="FF100" s="279"/>
      <c r="FG100" s="279"/>
      <c r="FH100" s="279"/>
      <c r="FI100" s="279"/>
      <c r="FJ100" s="279"/>
      <c r="FK100" s="279"/>
      <c r="FL100" s="279"/>
      <c r="FM100" s="279"/>
      <c r="FN100" s="279"/>
      <c r="FO100" s="279"/>
      <c r="FP100" s="279"/>
      <c r="FQ100" s="279"/>
      <c r="FR100" s="279"/>
      <c r="FS100" s="279"/>
      <c r="FT100" s="279"/>
      <c r="FU100" s="279"/>
      <c r="FV100" s="279"/>
      <c r="FW100" s="279"/>
      <c r="FX100" s="279"/>
      <c r="FY100" s="279"/>
      <c r="FZ100" s="279"/>
      <c r="GA100" s="279"/>
      <c r="GB100" s="279"/>
      <c r="GC100" s="279"/>
      <c r="GD100" s="279"/>
      <c r="GE100" s="279"/>
      <c r="GF100" s="279"/>
      <c r="GG100" s="279"/>
      <c r="GH100" s="279"/>
      <c r="GI100" s="279"/>
      <c r="GJ100" s="279"/>
      <c r="GK100" s="279"/>
      <c r="GL100" s="279"/>
      <c r="GM100" s="279"/>
      <c r="GN100" s="279"/>
      <c r="GO100" s="279"/>
      <c r="GP100" s="279"/>
      <c r="GQ100" s="279"/>
      <c r="GR100" s="280"/>
      <c r="GS100" s="280"/>
      <c r="GT100" s="280"/>
      <c r="GU100" s="280"/>
      <c r="GV100" s="280"/>
    </row>
    <row r="101" spans="1:204" ht="21.75" thickBot="1" x14ac:dyDescent="0.3">
      <c r="A101" s="285"/>
      <c r="B101" s="395"/>
      <c r="C101" s="292"/>
      <c r="D101" s="658" t="s">
        <v>163</v>
      </c>
      <c r="E101" s="660"/>
      <c r="F101" s="656"/>
      <c r="G101" s="656"/>
      <c r="H101" s="656"/>
      <c r="I101" s="395" t="s">
        <v>336</v>
      </c>
      <c r="J101" s="292"/>
      <c r="K101" s="658" t="s">
        <v>179</v>
      </c>
      <c r="L101" s="660"/>
      <c r="M101" s="656"/>
      <c r="N101" s="656"/>
      <c r="O101" s="656"/>
      <c r="P101" s="432"/>
      <c r="Q101" s="432"/>
      <c r="R101" s="356"/>
      <c r="S101" s="291"/>
      <c r="T101" s="291"/>
      <c r="U101" s="286"/>
      <c r="V101" s="286"/>
      <c r="W101" s="286"/>
      <c r="X101" s="286"/>
      <c r="Y101" s="727"/>
      <c r="Z101" s="727"/>
      <c r="AA101" s="293"/>
      <c r="AB101" s="293"/>
      <c r="AC101" s="288"/>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279"/>
      <c r="DY101" s="279"/>
      <c r="DZ101" s="279"/>
      <c r="EA101" s="279"/>
      <c r="EB101" s="279"/>
      <c r="EC101" s="279"/>
      <c r="ED101" s="279"/>
      <c r="EE101" s="279"/>
      <c r="EF101" s="279"/>
      <c r="EG101" s="279"/>
      <c r="EH101" s="279"/>
      <c r="EI101" s="279"/>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c r="FD101" s="279"/>
      <c r="FE101" s="279"/>
      <c r="FF101" s="279"/>
      <c r="FG101" s="279"/>
      <c r="FH101" s="279"/>
      <c r="FI101" s="279"/>
      <c r="FJ101" s="279"/>
      <c r="FK101" s="279"/>
      <c r="FL101" s="279"/>
      <c r="FM101" s="279"/>
      <c r="FN101" s="279"/>
      <c r="FO101" s="279"/>
      <c r="FP101" s="279"/>
      <c r="FQ101" s="279"/>
      <c r="FR101" s="279"/>
      <c r="FS101" s="279"/>
      <c r="FT101" s="279"/>
      <c r="FU101" s="279"/>
      <c r="FV101" s="279"/>
      <c r="FW101" s="279"/>
      <c r="FX101" s="279"/>
      <c r="FY101" s="279"/>
      <c r="FZ101" s="279"/>
      <c r="GA101" s="279"/>
      <c r="GB101" s="279"/>
      <c r="GC101" s="279"/>
      <c r="GD101" s="279"/>
      <c r="GE101" s="279"/>
      <c r="GF101" s="279"/>
      <c r="GG101" s="279"/>
      <c r="GH101" s="279"/>
      <c r="GI101" s="279"/>
      <c r="GJ101" s="279"/>
      <c r="GK101" s="279"/>
      <c r="GL101" s="279"/>
      <c r="GM101" s="279"/>
      <c r="GN101" s="279"/>
      <c r="GO101" s="279"/>
      <c r="GP101" s="279"/>
      <c r="GQ101" s="279"/>
      <c r="GR101" s="280"/>
      <c r="GS101" s="280"/>
      <c r="GT101" s="280"/>
      <c r="GU101" s="280"/>
      <c r="GV101" s="280"/>
    </row>
    <row r="102" spans="1:204" ht="15.75" x14ac:dyDescent="0.25">
      <c r="A102" s="285"/>
      <c r="B102" s="293"/>
      <c r="C102" s="342"/>
      <c r="D102" s="286"/>
      <c r="E102" s="286"/>
      <c r="F102" s="292"/>
      <c r="G102" s="292"/>
      <c r="H102" s="292"/>
      <c r="I102" s="292"/>
      <c r="J102" s="292"/>
      <c r="K102" s="418"/>
      <c r="L102" s="418"/>
      <c r="M102" s="415"/>
      <c r="N102" s="425"/>
      <c r="O102" s="425"/>
      <c r="P102" s="425"/>
      <c r="Q102" s="425"/>
      <c r="R102" s="432"/>
      <c r="S102" s="432"/>
      <c r="T102" s="432"/>
      <c r="U102" s="432"/>
      <c r="V102" s="432"/>
      <c r="W102" s="432"/>
      <c r="X102" s="432"/>
      <c r="Y102" s="727"/>
      <c r="Z102" s="727"/>
      <c r="AA102" s="293"/>
      <c r="AB102" s="293"/>
      <c r="AC102" s="288"/>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79"/>
      <c r="DF102" s="279"/>
      <c r="DG102" s="279"/>
      <c r="DH102" s="279"/>
      <c r="DI102" s="279"/>
      <c r="DJ102" s="279"/>
      <c r="DK102" s="279"/>
      <c r="DL102" s="279"/>
      <c r="DM102" s="279"/>
      <c r="DN102" s="279"/>
      <c r="DO102" s="279"/>
      <c r="DP102" s="279"/>
      <c r="DQ102" s="279"/>
      <c r="DR102" s="279"/>
      <c r="DS102" s="279"/>
      <c r="DT102" s="279"/>
      <c r="DU102" s="279"/>
      <c r="DV102" s="279"/>
      <c r="DW102" s="279"/>
      <c r="DX102" s="279"/>
      <c r="DY102" s="279"/>
      <c r="DZ102" s="279"/>
      <c r="EA102" s="279"/>
      <c r="EB102" s="279"/>
      <c r="EC102" s="279"/>
      <c r="ED102" s="279"/>
      <c r="EE102" s="279"/>
      <c r="EF102" s="279"/>
      <c r="EG102" s="279"/>
      <c r="EH102" s="279"/>
      <c r="EI102" s="279"/>
      <c r="EJ102" s="279"/>
      <c r="EK102" s="279"/>
      <c r="EL102" s="279"/>
      <c r="EM102" s="279"/>
      <c r="EN102" s="279"/>
      <c r="EO102" s="279"/>
      <c r="EP102" s="279"/>
      <c r="EQ102" s="279"/>
      <c r="ER102" s="279"/>
      <c r="ES102" s="279"/>
      <c r="ET102" s="279"/>
      <c r="EU102" s="279"/>
      <c r="EV102" s="279"/>
      <c r="EW102" s="279"/>
      <c r="EX102" s="279"/>
      <c r="EY102" s="279"/>
      <c r="EZ102" s="279"/>
      <c r="FA102" s="279"/>
      <c r="FB102" s="279"/>
      <c r="FC102" s="279"/>
      <c r="FD102" s="279"/>
      <c r="FE102" s="279"/>
      <c r="FF102" s="279"/>
      <c r="FG102" s="279"/>
      <c r="FH102" s="279"/>
      <c r="FI102" s="279"/>
      <c r="FJ102" s="279"/>
      <c r="FK102" s="279"/>
      <c r="FL102" s="279"/>
      <c r="FM102" s="279"/>
      <c r="FN102" s="279"/>
      <c r="FO102" s="279"/>
      <c r="FP102" s="279"/>
      <c r="FQ102" s="279"/>
      <c r="FR102" s="279"/>
      <c r="FS102" s="279"/>
      <c r="FT102" s="279"/>
      <c r="FU102" s="279"/>
      <c r="FV102" s="279"/>
      <c r="FW102" s="279"/>
      <c r="FX102" s="279"/>
      <c r="FY102" s="279"/>
      <c r="FZ102" s="279"/>
      <c r="GA102" s="279"/>
      <c r="GB102" s="279"/>
      <c r="GC102" s="279"/>
      <c r="GD102" s="279"/>
      <c r="GE102" s="279"/>
      <c r="GF102" s="279"/>
      <c r="GG102" s="279"/>
      <c r="GH102" s="279"/>
      <c r="GI102" s="279"/>
      <c r="GJ102" s="279"/>
      <c r="GK102" s="279"/>
      <c r="GL102" s="279"/>
      <c r="GM102" s="279"/>
      <c r="GN102" s="279"/>
      <c r="GO102" s="279"/>
      <c r="GP102" s="279"/>
      <c r="GQ102" s="279"/>
      <c r="GR102" s="280"/>
      <c r="GS102" s="280"/>
      <c r="GT102" s="280"/>
      <c r="GU102" s="280"/>
      <c r="GV102" s="280"/>
    </row>
    <row r="103" spans="1:204" ht="15.75" x14ac:dyDescent="0.25">
      <c r="A103" s="285"/>
      <c r="B103" s="292"/>
      <c r="C103" s="292"/>
      <c r="D103" s="292"/>
      <c r="E103" s="292"/>
      <c r="F103" s="292"/>
      <c r="G103" s="292"/>
      <c r="H103" s="292"/>
      <c r="I103" s="292"/>
      <c r="J103" s="292"/>
      <c r="K103" s="417"/>
      <c r="L103" s="417"/>
      <c r="M103" s="419"/>
      <c r="N103" s="425"/>
      <c r="O103" s="425"/>
      <c r="P103" s="425"/>
      <c r="Q103" s="425"/>
      <c r="R103" s="432"/>
      <c r="S103" s="432"/>
      <c r="T103" s="432"/>
      <c r="U103" s="432"/>
      <c r="V103" s="432"/>
      <c r="W103" s="432"/>
      <c r="X103" s="432"/>
      <c r="Y103" s="727"/>
      <c r="Z103" s="727"/>
      <c r="AA103" s="293"/>
      <c r="AB103" s="293"/>
      <c r="AC103" s="288"/>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9"/>
      <c r="CG103" s="279"/>
      <c r="CH103" s="279"/>
      <c r="CI103" s="279"/>
      <c r="CJ103" s="279"/>
      <c r="CK103" s="279"/>
      <c r="CL103" s="279"/>
      <c r="CM103" s="279"/>
      <c r="CN103" s="279"/>
      <c r="CO103" s="279"/>
      <c r="CP103" s="279"/>
      <c r="CQ103" s="279"/>
      <c r="CR103" s="279"/>
      <c r="CS103" s="279"/>
      <c r="CT103" s="279"/>
      <c r="CU103" s="279"/>
      <c r="CV103" s="279"/>
      <c r="CW103" s="279"/>
      <c r="CX103" s="279"/>
      <c r="CY103" s="279"/>
      <c r="CZ103" s="279"/>
      <c r="DA103" s="279"/>
      <c r="DB103" s="279"/>
      <c r="DC103" s="279"/>
      <c r="DD103" s="279"/>
      <c r="DE103" s="279"/>
      <c r="DF103" s="279"/>
      <c r="DG103" s="279"/>
      <c r="DH103" s="279"/>
      <c r="DI103" s="279"/>
      <c r="DJ103" s="279"/>
      <c r="DK103" s="279"/>
      <c r="DL103" s="279"/>
      <c r="DM103" s="279"/>
      <c r="DN103" s="279"/>
      <c r="DO103" s="279"/>
      <c r="DP103" s="279"/>
      <c r="DQ103" s="279"/>
      <c r="DR103" s="279"/>
      <c r="DS103" s="279"/>
      <c r="DT103" s="279"/>
      <c r="DU103" s="279"/>
      <c r="DV103" s="279"/>
      <c r="DW103" s="279"/>
      <c r="DX103" s="279"/>
      <c r="DY103" s="279"/>
      <c r="DZ103" s="279"/>
      <c r="EA103" s="279"/>
      <c r="EB103" s="279"/>
      <c r="EC103" s="279"/>
      <c r="ED103" s="279"/>
      <c r="EE103" s="279"/>
      <c r="EF103" s="279"/>
      <c r="EG103" s="279"/>
      <c r="EH103" s="279"/>
      <c r="EI103" s="279"/>
      <c r="EJ103" s="279"/>
      <c r="EK103" s="279"/>
      <c r="EL103" s="279"/>
      <c r="EM103" s="279"/>
      <c r="EN103" s="279"/>
      <c r="EO103" s="279"/>
      <c r="EP103" s="279"/>
      <c r="EQ103" s="279"/>
      <c r="ER103" s="279"/>
      <c r="ES103" s="279"/>
      <c r="ET103" s="279"/>
      <c r="EU103" s="279"/>
      <c r="EV103" s="279"/>
      <c r="EW103" s="279"/>
      <c r="EX103" s="279"/>
      <c r="EY103" s="279"/>
      <c r="EZ103" s="279"/>
      <c r="FA103" s="279"/>
      <c r="FB103" s="279"/>
      <c r="FC103" s="279"/>
      <c r="FD103" s="279"/>
      <c r="FE103" s="279"/>
      <c r="FF103" s="279"/>
      <c r="FG103" s="279"/>
      <c r="FH103" s="279"/>
      <c r="FI103" s="279"/>
      <c r="FJ103" s="279"/>
      <c r="FK103" s="279"/>
      <c r="FL103" s="279"/>
      <c r="FM103" s="279"/>
      <c r="FN103" s="279"/>
      <c r="FO103" s="279"/>
      <c r="FP103" s="279"/>
      <c r="FQ103" s="279"/>
      <c r="FR103" s="279"/>
      <c r="FS103" s="279"/>
      <c r="FT103" s="279"/>
      <c r="FU103" s="279"/>
      <c r="FV103" s="279"/>
      <c r="FW103" s="279"/>
      <c r="FX103" s="279"/>
      <c r="FY103" s="279"/>
      <c r="FZ103" s="279"/>
      <c r="GA103" s="279"/>
      <c r="GB103" s="279"/>
      <c r="GC103" s="279"/>
      <c r="GD103" s="279"/>
      <c r="GE103" s="279"/>
      <c r="GF103" s="279"/>
      <c r="GG103" s="279"/>
      <c r="GH103" s="279"/>
      <c r="GI103" s="279"/>
      <c r="GJ103" s="279"/>
      <c r="GK103" s="279"/>
      <c r="GL103" s="279"/>
      <c r="GM103" s="279"/>
      <c r="GN103" s="279"/>
      <c r="GO103" s="279"/>
      <c r="GP103" s="279"/>
      <c r="GQ103" s="279"/>
      <c r="GR103" s="280"/>
      <c r="GS103" s="280"/>
      <c r="GT103" s="280"/>
      <c r="GU103" s="280"/>
      <c r="GV103" s="280"/>
    </row>
    <row r="104" spans="1:204" ht="15.75" thickBot="1" x14ac:dyDescent="0.3">
      <c r="A104" s="285"/>
      <c r="B104" s="293"/>
      <c r="C104" s="342"/>
      <c r="D104" s="286"/>
      <c r="E104" s="286"/>
      <c r="F104" s="292"/>
      <c r="G104" s="292"/>
      <c r="H104" s="292"/>
      <c r="I104" s="292"/>
      <c r="J104" s="292"/>
      <c r="K104" s="418"/>
      <c r="L104" s="418"/>
      <c r="M104" s="415"/>
      <c r="N104" s="430"/>
      <c r="O104" s="430"/>
      <c r="P104" s="430"/>
      <c r="Q104" s="430"/>
      <c r="R104" s="690" t="s">
        <v>370</v>
      </c>
      <c r="S104" s="690"/>
      <c r="T104" s="690"/>
      <c r="U104" s="690"/>
      <c r="V104" s="690"/>
      <c r="W104" s="690"/>
      <c r="X104" s="690"/>
      <c r="Y104" s="293"/>
      <c r="Z104" s="293"/>
      <c r="AA104" s="293"/>
      <c r="AB104" s="293"/>
      <c r="AC104" s="288"/>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79"/>
      <c r="DF104" s="279"/>
      <c r="DG104" s="279"/>
      <c r="DH104" s="279"/>
      <c r="DI104" s="279"/>
      <c r="DJ104" s="279"/>
      <c r="DK104" s="279"/>
      <c r="DL104" s="279"/>
      <c r="DM104" s="279"/>
      <c r="DN104" s="279"/>
      <c r="DO104" s="279"/>
      <c r="DP104" s="279"/>
      <c r="DQ104" s="279"/>
      <c r="DR104" s="279"/>
      <c r="DS104" s="279"/>
      <c r="DT104" s="279"/>
      <c r="DU104" s="279"/>
      <c r="DV104" s="279"/>
      <c r="DW104" s="279"/>
      <c r="DX104" s="279"/>
      <c r="DY104" s="279"/>
      <c r="DZ104" s="279"/>
      <c r="EA104" s="279"/>
      <c r="EB104" s="279"/>
      <c r="EC104" s="279"/>
      <c r="ED104" s="279"/>
      <c r="EE104" s="279"/>
      <c r="EF104" s="279"/>
      <c r="EG104" s="279"/>
      <c r="EH104" s="279"/>
      <c r="EI104" s="279"/>
      <c r="EJ104" s="279"/>
      <c r="EK104" s="279"/>
      <c r="EL104" s="279"/>
      <c r="EM104" s="279"/>
      <c r="EN104" s="279"/>
      <c r="EO104" s="279"/>
      <c r="EP104" s="279"/>
      <c r="EQ104" s="279"/>
      <c r="ER104" s="279"/>
      <c r="ES104" s="279"/>
      <c r="ET104" s="279"/>
      <c r="EU104" s="279"/>
      <c r="EV104" s="279"/>
      <c r="EW104" s="279"/>
      <c r="EX104" s="279"/>
      <c r="EY104" s="279"/>
      <c r="EZ104" s="279"/>
      <c r="FA104" s="279"/>
      <c r="FB104" s="279"/>
      <c r="FC104" s="279"/>
      <c r="FD104" s="279"/>
      <c r="FE104" s="279"/>
      <c r="FF104" s="279"/>
      <c r="FG104" s="279"/>
      <c r="FH104" s="279"/>
      <c r="FI104" s="279"/>
      <c r="FJ104" s="279"/>
      <c r="FK104" s="279"/>
      <c r="FL104" s="279"/>
      <c r="FM104" s="279"/>
      <c r="FN104" s="279"/>
      <c r="FO104" s="279"/>
      <c r="FP104" s="279"/>
      <c r="FQ104" s="279"/>
      <c r="FR104" s="279"/>
      <c r="FS104" s="279"/>
      <c r="FT104" s="279"/>
      <c r="FU104" s="279"/>
      <c r="FV104" s="279"/>
      <c r="FW104" s="279"/>
      <c r="FX104" s="279"/>
      <c r="FY104" s="279"/>
      <c r="FZ104" s="279"/>
      <c r="GA104" s="279"/>
      <c r="GB104" s="279"/>
      <c r="GC104" s="279"/>
      <c r="GD104" s="279"/>
      <c r="GE104" s="279"/>
      <c r="GF104" s="279"/>
      <c r="GG104" s="279"/>
      <c r="GH104" s="279"/>
      <c r="GI104" s="279"/>
      <c r="GJ104" s="279"/>
      <c r="GK104" s="279"/>
      <c r="GL104" s="279"/>
      <c r="GM104" s="279"/>
      <c r="GN104" s="279"/>
      <c r="GO104" s="279"/>
      <c r="GP104" s="279"/>
      <c r="GQ104" s="279"/>
      <c r="GR104" s="280"/>
      <c r="GS104" s="280"/>
      <c r="GT104" s="280"/>
      <c r="GU104" s="280"/>
      <c r="GV104" s="280"/>
    </row>
    <row r="105" spans="1:204" ht="24.75" customHeight="1" thickBot="1" x14ac:dyDescent="0.3">
      <c r="A105" s="285"/>
      <c r="B105" s="657" t="s">
        <v>184</v>
      </c>
      <c r="C105" s="657"/>
      <c r="D105" s="657"/>
      <c r="E105" s="657"/>
      <c r="F105" s="657"/>
      <c r="G105" s="292"/>
      <c r="H105" s="292"/>
      <c r="I105" s="395"/>
      <c r="J105" s="292"/>
      <c r="K105" s="658" t="s">
        <v>180</v>
      </c>
      <c r="L105" s="660"/>
      <c r="M105" s="656" t="str">
        <f>IF(COUNTBLANK(I105:I107)&lt;2,"You can't choose more than one answer",IF(COUNTBLANK(I105:I107)=3,"You have to choose an answer",""))</f>
        <v/>
      </c>
      <c r="N105" s="656"/>
      <c r="O105" s="656"/>
      <c r="P105" s="432"/>
      <c r="Q105" s="432"/>
      <c r="R105" s="355"/>
      <c r="S105" s="293"/>
      <c r="T105" s="496">
        <v>5</v>
      </c>
      <c r="U105" s="724" t="s">
        <v>372</v>
      </c>
      <c r="V105" s="725"/>
      <c r="W105" s="726"/>
      <c r="X105" s="403">
        <f>IF(OR(T105=1,T105=2,T105=3,T105=4,T105=5,T105=6,T105=7,T105=8,T105=9,T105=10),T105*25000,0)</f>
        <v>125000</v>
      </c>
      <c r="Y105" s="293"/>
      <c r="Z105" s="287"/>
      <c r="AA105" s="379" t="s">
        <v>356</v>
      </c>
      <c r="AB105" s="439">
        <f>IF(AND(F99="",M99="",M105="",Y99="",B108=""),ROUND(Y96/1000*V96,2),0)</f>
        <v>7.13</v>
      </c>
      <c r="AC105" s="288"/>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79"/>
      <c r="DF105" s="279"/>
      <c r="DG105" s="279"/>
      <c r="DH105" s="279"/>
      <c r="DI105" s="279"/>
      <c r="DJ105" s="279"/>
      <c r="DK105" s="279"/>
      <c r="DL105" s="279"/>
      <c r="DM105" s="279"/>
      <c r="DN105" s="279"/>
      <c r="DO105" s="279"/>
      <c r="DP105" s="279"/>
      <c r="DQ105" s="279"/>
      <c r="DR105" s="279"/>
      <c r="DS105" s="279"/>
      <c r="DT105" s="279"/>
      <c r="DU105" s="279"/>
      <c r="DV105" s="279"/>
      <c r="DW105" s="279"/>
      <c r="DX105" s="279"/>
      <c r="DY105" s="279"/>
      <c r="DZ105" s="279"/>
      <c r="EA105" s="279"/>
      <c r="EB105" s="279"/>
      <c r="EC105" s="279"/>
      <c r="ED105" s="279"/>
      <c r="EE105" s="279"/>
      <c r="EF105" s="279"/>
      <c r="EG105" s="279"/>
      <c r="EH105" s="279"/>
      <c r="EI105" s="279"/>
      <c r="EJ105" s="279"/>
      <c r="EK105" s="279"/>
      <c r="EL105" s="279"/>
      <c r="EM105" s="279"/>
      <c r="EN105" s="279"/>
      <c r="EO105" s="279"/>
      <c r="EP105" s="279"/>
      <c r="EQ105" s="279"/>
      <c r="ER105" s="279"/>
      <c r="ES105" s="279"/>
      <c r="ET105" s="279"/>
      <c r="EU105" s="279"/>
      <c r="EV105" s="279"/>
      <c r="EW105" s="279"/>
      <c r="EX105" s="279"/>
      <c r="EY105" s="279"/>
      <c r="EZ105" s="279"/>
      <c r="FA105" s="279"/>
      <c r="FB105" s="279"/>
      <c r="FC105" s="279"/>
      <c r="FD105" s="279"/>
      <c r="FE105" s="279"/>
      <c r="FF105" s="279"/>
      <c r="FG105" s="279"/>
      <c r="FH105" s="279"/>
      <c r="FI105" s="279"/>
      <c r="FJ105" s="279"/>
      <c r="FK105" s="279"/>
      <c r="FL105" s="279"/>
      <c r="FM105" s="279"/>
      <c r="FN105" s="279"/>
      <c r="FO105" s="279"/>
      <c r="FP105" s="279"/>
      <c r="FQ105" s="279"/>
      <c r="FR105" s="279"/>
      <c r="FS105" s="279"/>
      <c r="FT105" s="279"/>
      <c r="FU105" s="279"/>
      <c r="FV105" s="279"/>
      <c r="FW105" s="279"/>
      <c r="FX105" s="279"/>
      <c r="FY105" s="279"/>
      <c r="FZ105" s="279"/>
      <c r="GA105" s="279"/>
      <c r="GB105" s="279"/>
      <c r="GC105" s="279"/>
      <c r="GD105" s="279"/>
      <c r="GE105" s="279"/>
      <c r="GF105" s="279"/>
      <c r="GG105" s="279"/>
      <c r="GH105" s="279"/>
      <c r="GI105" s="279"/>
      <c r="GJ105" s="279"/>
      <c r="GK105" s="279"/>
      <c r="GL105" s="279"/>
      <c r="GM105" s="279"/>
      <c r="GN105" s="279"/>
      <c r="GO105" s="279"/>
      <c r="GP105" s="279"/>
      <c r="GQ105" s="279"/>
      <c r="GR105" s="280"/>
      <c r="GS105" s="280"/>
      <c r="GT105" s="280"/>
      <c r="GU105" s="280"/>
      <c r="GV105" s="280"/>
    </row>
    <row r="106" spans="1:204" ht="4.5" customHeight="1" thickBot="1" x14ac:dyDescent="0.3">
      <c r="A106" s="285"/>
      <c r="B106" s="357"/>
      <c r="C106" s="357"/>
      <c r="D106" s="357"/>
      <c r="E106" s="357"/>
      <c r="F106" s="357"/>
      <c r="G106" s="357"/>
      <c r="H106" s="286"/>
      <c r="I106" s="396"/>
      <c r="J106" s="286"/>
      <c r="K106" s="417"/>
      <c r="L106" s="417"/>
      <c r="M106" s="656"/>
      <c r="N106" s="656"/>
      <c r="O106" s="656"/>
      <c r="P106" s="432"/>
      <c r="Q106" s="432"/>
      <c r="R106" s="356"/>
      <c r="S106" s="291"/>
      <c r="T106" s="324"/>
      <c r="U106" s="324"/>
      <c r="V106" s="286"/>
      <c r="W106" s="286"/>
      <c r="X106" s="286"/>
      <c r="Y106" s="293"/>
      <c r="Z106" s="286"/>
      <c r="AA106" s="286"/>
      <c r="AB106" s="293"/>
      <c r="AC106" s="288"/>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79"/>
      <c r="DF106" s="279"/>
      <c r="DG106" s="279"/>
      <c r="DH106" s="279"/>
      <c r="DI106" s="279"/>
      <c r="DJ106" s="279"/>
      <c r="DK106" s="279"/>
      <c r="DL106" s="279"/>
      <c r="DM106" s="279"/>
      <c r="DN106" s="279"/>
      <c r="DO106" s="279"/>
      <c r="DP106" s="279"/>
      <c r="DQ106" s="279"/>
      <c r="DR106" s="279"/>
      <c r="DS106" s="279"/>
      <c r="DT106" s="279"/>
      <c r="DU106" s="279"/>
      <c r="DV106" s="279"/>
      <c r="DW106" s="279"/>
      <c r="DX106" s="279"/>
      <c r="DY106" s="279"/>
      <c r="DZ106" s="279"/>
      <c r="EA106" s="279"/>
      <c r="EB106" s="279"/>
      <c r="EC106" s="279"/>
      <c r="ED106" s="279"/>
      <c r="EE106" s="279"/>
      <c r="EF106" s="279"/>
      <c r="EG106" s="279"/>
      <c r="EH106" s="279"/>
      <c r="EI106" s="279"/>
      <c r="EJ106" s="279"/>
      <c r="EK106" s="279"/>
      <c r="EL106" s="279"/>
      <c r="EM106" s="279"/>
      <c r="EN106" s="279"/>
      <c r="EO106" s="279"/>
      <c r="EP106" s="279"/>
      <c r="EQ106" s="279"/>
      <c r="ER106" s="279"/>
      <c r="ES106" s="279"/>
      <c r="ET106" s="279"/>
      <c r="EU106" s="279"/>
      <c r="EV106" s="279"/>
      <c r="EW106" s="279"/>
      <c r="EX106" s="279"/>
      <c r="EY106" s="279"/>
      <c r="EZ106" s="279"/>
      <c r="FA106" s="279"/>
      <c r="FB106" s="279"/>
      <c r="FC106" s="279"/>
      <c r="FD106" s="279"/>
      <c r="FE106" s="279"/>
      <c r="FF106" s="279"/>
      <c r="FG106" s="279"/>
      <c r="FH106" s="279"/>
      <c r="FI106" s="279"/>
      <c r="FJ106" s="279"/>
      <c r="FK106" s="279"/>
      <c r="FL106" s="279"/>
      <c r="FM106" s="279"/>
      <c r="FN106" s="279"/>
      <c r="FO106" s="279"/>
      <c r="FP106" s="279"/>
      <c r="FQ106" s="279"/>
      <c r="FR106" s="279"/>
      <c r="FS106" s="279"/>
      <c r="FT106" s="279"/>
      <c r="FU106" s="279"/>
      <c r="FV106" s="279"/>
      <c r="FW106" s="279"/>
      <c r="FX106" s="279"/>
      <c r="FY106" s="279"/>
      <c r="FZ106" s="279"/>
      <c r="GA106" s="279"/>
      <c r="GB106" s="279"/>
      <c r="GC106" s="279"/>
      <c r="GD106" s="279"/>
      <c r="GE106" s="279"/>
      <c r="GF106" s="279"/>
      <c r="GG106" s="279"/>
      <c r="GH106" s="279"/>
      <c r="GI106" s="279"/>
      <c r="GJ106" s="279"/>
      <c r="GK106" s="279"/>
      <c r="GL106" s="279"/>
      <c r="GM106" s="279"/>
      <c r="GN106" s="279"/>
      <c r="GO106" s="279"/>
      <c r="GP106" s="279"/>
      <c r="GQ106" s="279"/>
      <c r="GR106" s="280"/>
      <c r="GS106" s="280"/>
      <c r="GT106" s="280"/>
      <c r="GU106" s="280"/>
      <c r="GV106" s="280"/>
    </row>
    <row r="107" spans="1:204" ht="23.25" customHeight="1" thickBot="1" x14ac:dyDescent="0.3">
      <c r="A107" s="285"/>
      <c r="B107" s="497">
        <v>58</v>
      </c>
      <c r="C107" s="452" t="s">
        <v>181</v>
      </c>
      <c r="D107" s="498"/>
      <c r="E107" s="386"/>
      <c r="F107" s="402"/>
      <c r="G107" s="357"/>
      <c r="H107" s="286"/>
      <c r="I107" s="395" t="s">
        <v>336</v>
      </c>
      <c r="J107" s="286"/>
      <c r="K107" s="658" t="s">
        <v>182</v>
      </c>
      <c r="L107" s="660"/>
      <c r="M107" s="656"/>
      <c r="N107" s="656"/>
      <c r="O107" s="656"/>
      <c r="P107" s="432"/>
      <c r="Q107" s="432"/>
      <c r="R107" s="356"/>
      <c r="S107" s="291"/>
      <c r="T107" s="324"/>
      <c r="U107" s="324"/>
      <c r="V107" s="286"/>
      <c r="W107" s="286"/>
      <c r="X107" s="286"/>
      <c r="Y107" s="293"/>
      <c r="Z107" s="293"/>
      <c r="AA107" s="379" t="s">
        <v>357</v>
      </c>
      <c r="AB107" s="439">
        <f>AB105*26</f>
        <v>185.38</v>
      </c>
      <c r="AC107" s="288"/>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c r="CC107" s="279"/>
      <c r="CD107" s="279"/>
      <c r="CE107" s="279"/>
      <c r="CF107" s="279"/>
      <c r="CG107" s="279"/>
      <c r="CH107" s="279"/>
      <c r="CI107" s="279"/>
      <c r="CJ107" s="279"/>
      <c r="CK107" s="279"/>
      <c r="CL107" s="279"/>
      <c r="CM107" s="279"/>
      <c r="CN107" s="279"/>
      <c r="CO107" s="279"/>
      <c r="CP107" s="279"/>
      <c r="CQ107" s="279"/>
      <c r="CR107" s="279"/>
      <c r="CS107" s="279"/>
      <c r="CT107" s="279"/>
      <c r="CU107" s="279"/>
      <c r="CV107" s="279"/>
      <c r="CW107" s="279"/>
      <c r="CX107" s="279"/>
      <c r="CY107" s="279"/>
      <c r="CZ107" s="279"/>
      <c r="DA107" s="279"/>
      <c r="DB107" s="279"/>
      <c r="DC107" s="279"/>
      <c r="DD107" s="279"/>
      <c r="DE107" s="279"/>
      <c r="DF107" s="279"/>
      <c r="DG107" s="279"/>
      <c r="DH107" s="279"/>
      <c r="DI107" s="279"/>
      <c r="DJ107" s="279"/>
      <c r="DK107" s="279"/>
      <c r="DL107" s="279"/>
      <c r="DM107" s="279"/>
      <c r="DN107" s="279"/>
      <c r="DO107" s="279"/>
      <c r="DP107" s="279"/>
      <c r="DQ107" s="279"/>
      <c r="DR107" s="279"/>
      <c r="DS107" s="279"/>
      <c r="DT107" s="279"/>
      <c r="DU107" s="279"/>
      <c r="DV107" s="279"/>
      <c r="DW107" s="279"/>
      <c r="DX107" s="279"/>
      <c r="DY107" s="279"/>
      <c r="DZ107" s="279"/>
      <c r="EA107" s="279"/>
      <c r="EB107" s="279"/>
      <c r="EC107" s="279"/>
      <c r="ED107" s="279"/>
      <c r="EE107" s="279"/>
      <c r="EF107" s="279"/>
      <c r="EG107" s="279"/>
      <c r="EH107" s="279"/>
      <c r="EI107" s="279"/>
      <c r="EJ107" s="279"/>
      <c r="EK107" s="279"/>
      <c r="EL107" s="279"/>
      <c r="EM107" s="279"/>
      <c r="EN107" s="279"/>
      <c r="EO107" s="279"/>
      <c r="EP107" s="279"/>
      <c r="EQ107" s="279"/>
      <c r="ER107" s="279"/>
      <c r="ES107" s="279"/>
      <c r="ET107" s="279"/>
      <c r="EU107" s="279"/>
      <c r="EV107" s="279"/>
      <c r="EW107" s="279"/>
      <c r="EX107" s="279"/>
      <c r="EY107" s="279"/>
      <c r="EZ107" s="279"/>
      <c r="FA107" s="279"/>
      <c r="FB107" s="279"/>
      <c r="FC107" s="279"/>
      <c r="FD107" s="279"/>
      <c r="FE107" s="279"/>
      <c r="FF107" s="279"/>
      <c r="FG107" s="279"/>
      <c r="FH107" s="279"/>
      <c r="FI107" s="279"/>
      <c r="FJ107" s="279"/>
      <c r="FK107" s="279"/>
      <c r="FL107" s="279"/>
      <c r="FM107" s="279"/>
      <c r="FN107" s="279"/>
      <c r="FO107" s="279"/>
      <c r="FP107" s="279"/>
      <c r="FQ107" s="279"/>
      <c r="FR107" s="279"/>
      <c r="FS107" s="279"/>
      <c r="FT107" s="279"/>
      <c r="FU107" s="279"/>
      <c r="FV107" s="279"/>
      <c r="FW107" s="279"/>
      <c r="FX107" s="279"/>
      <c r="FY107" s="279"/>
      <c r="FZ107" s="279"/>
      <c r="GA107" s="279"/>
      <c r="GB107" s="279"/>
      <c r="GC107" s="279"/>
      <c r="GD107" s="279"/>
      <c r="GE107" s="279"/>
      <c r="GF107" s="279"/>
      <c r="GG107" s="279"/>
      <c r="GH107" s="279"/>
      <c r="GI107" s="279"/>
      <c r="GJ107" s="279"/>
      <c r="GK107" s="279"/>
      <c r="GL107" s="279"/>
      <c r="GM107" s="279"/>
      <c r="GN107" s="279"/>
      <c r="GO107" s="279"/>
      <c r="GP107" s="279"/>
      <c r="GQ107" s="279"/>
      <c r="GR107" s="280"/>
      <c r="GS107" s="280"/>
      <c r="GT107" s="280"/>
      <c r="GU107" s="280"/>
      <c r="GV107" s="280"/>
    </row>
    <row r="108" spans="1:204" ht="21" customHeight="1" x14ac:dyDescent="0.25">
      <c r="A108" s="285"/>
      <c r="B108" s="705" t="str">
        <f>IF(B107&gt;=70,"Optional Life Insurance is no longer available after age 70.","")</f>
        <v/>
      </c>
      <c r="C108" s="705"/>
      <c r="D108" s="705"/>
      <c r="E108" s="705"/>
      <c r="F108" s="705"/>
      <c r="G108" s="705"/>
      <c r="H108" s="705"/>
      <c r="I108" s="705"/>
      <c r="J108" s="705"/>
      <c r="K108" s="705"/>
      <c r="L108" s="705"/>
      <c r="M108" s="705"/>
      <c r="N108" s="705"/>
      <c r="O108" s="705"/>
      <c r="P108" s="705"/>
      <c r="Q108" s="705"/>
      <c r="R108" s="705"/>
      <c r="S108" s="705"/>
      <c r="T108" s="705"/>
      <c r="U108" s="705"/>
      <c r="V108" s="324"/>
      <c r="W108" s="286"/>
      <c r="X108" s="286"/>
      <c r="Y108" s="286"/>
      <c r="Z108" s="422"/>
      <c r="AA108" s="294"/>
      <c r="AB108" s="576" t="str">
        <f xml:space="preserve"> IF(AB105&gt;0,"This cost takes into account a 50 % premium reduction but does not include the 9 % sales tax","")</f>
        <v>This cost takes into account a 50 % premium reduction but does not include the 9 % sales tax</v>
      </c>
      <c r="AC108" s="288"/>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79"/>
      <c r="CQ108" s="279"/>
      <c r="CR108" s="279"/>
      <c r="CS108" s="279"/>
      <c r="CT108" s="279"/>
      <c r="CU108" s="279"/>
      <c r="CV108" s="279"/>
      <c r="CW108" s="279"/>
      <c r="CX108" s="279"/>
      <c r="CY108" s="279"/>
      <c r="CZ108" s="279"/>
      <c r="DA108" s="279"/>
      <c r="DB108" s="279"/>
      <c r="DC108" s="279"/>
      <c r="DD108" s="279"/>
      <c r="DE108" s="279"/>
      <c r="DF108" s="279"/>
      <c r="DG108" s="279"/>
      <c r="DH108" s="279"/>
      <c r="DI108" s="279"/>
      <c r="DJ108" s="279"/>
      <c r="DK108" s="279"/>
      <c r="DL108" s="279"/>
      <c r="DM108" s="279"/>
      <c r="DN108" s="279"/>
      <c r="DO108" s="279"/>
      <c r="DP108" s="279"/>
      <c r="DQ108" s="279"/>
      <c r="DR108" s="279"/>
      <c r="DS108" s="279"/>
      <c r="DT108" s="279"/>
      <c r="DU108" s="279"/>
      <c r="DV108" s="279"/>
      <c r="DW108" s="279"/>
      <c r="DX108" s="279"/>
      <c r="DY108" s="279"/>
      <c r="DZ108" s="279"/>
      <c r="EA108" s="279"/>
      <c r="EB108" s="279"/>
      <c r="EC108" s="279"/>
      <c r="ED108" s="279"/>
      <c r="EE108" s="279"/>
      <c r="EF108" s="279"/>
      <c r="EG108" s="279"/>
      <c r="EH108" s="279"/>
      <c r="EI108" s="279"/>
      <c r="EJ108" s="279"/>
      <c r="EK108" s="279"/>
      <c r="EL108" s="279"/>
      <c r="EM108" s="279"/>
      <c r="EN108" s="279"/>
      <c r="EO108" s="279"/>
      <c r="EP108" s="279"/>
      <c r="EQ108" s="279"/>
      <c r="ER108" s="279"/>
      <c r="ES108" s="279"/>
      <c r="ET108" s="279"/>
      <c r="EU108" s="279"/>
      <c r="EV108" s="279"/>
      <c r="EW108" s="279"/>
      <c r="EX108" s="279"/>
      <c r="EY108" s="279"/>
      <c r="EZ108" s="279"/>
      <c r="FA108" s="279"/>
      <c r="FB108" s="279"/>
      <c r="FC108" s="279"/>
      <c r="FD108" s="279"/>
      <c r="FE108" s="279"/>
      <c r="FF108" s="279"/>
      <c r="FG108" s="279"/>
      <c r="FH108" s="279"/>
      <c r="FI108" s="279"/>
      <c r="FJ108" s="279"/>
      <c r="FK108" s="279"/>
      <c r="FL108" s="279"/>
      <c r="FM108" s="279"/>
      <c r="FN108" s="279"/>
      <c r="FO108" s="279"/>
      <c r="FP108" s="279"/>
      <c r="FQ108" s="279"/>
      <c r="FR108" s="279"/>
      <c r="FS108" s="279"/>
      <c r="FT108" s="279"/>
      <c r="FU108" s="279"/>
      <c r="FV108" s="279"/>
      <c r="FW108" s="279"/>
      <c r="FX108" s="279"/>
      <c r="FY108" s="279"/>
      <c r="FZ108" s="279"/>
      <c r="GA108" s="279"/>
      <c r="GB108" s="279"/>
      <c r="GC108" s="279"/>
      <c r="GD108" s="279"/>
      <c r="GE108" s="279"/>
      <c r="GF108" s="279"/>
      <c r="GG108" s="279"/>
      <c r="GH108" s="279"/>
      <c r="GI108" s="279"/>
      <c r="GJ108" s="279"/>
      <c r="GK108" s="279"/>
      <c r="GL108" s="279"/>
      <c r="GM108" s="279"/>
      <c r="GN108" s="279"/>
      <c r="GO108" s="279"/>
      <c r="GP108" s="279"/>
      <c r="GQ108" s="279"/>
      <c r="GR108" s="280"/>
      <c r="GS108" s="280"/>
      <c r="GT108" s="280"/>
      <c r="GU108" s="280"/>
      <c r="GV108" s="280"/>
    </row>
    <row r="109" spans="1:204" ht="1.5" customHeight="1" x14ac:dyDescent="0.25">
      <c r="A109" s="326"/>
      <c r="B109" s="378"/>
      <c r="C109" s="378"/>
      <c r="D109" s="378"/>
      <c r="E109" s="378"/>
      <c r="F109" s="378"/>
      <c r="G109" s="378"/>
      <c r="H109" s="378"/>
      <c r="I109" s="378"/>
      <c r="J109" s="378"/>
      <c r="K109" s="378"/>
      <c r="L109" s="378"/>
      <c r="M109" s="364"/>
      <c r="N109" s="364"/>
      <c r="O109" s="364"/>
      <c r="P109" s="364"/>
      <c r="Q109" s="364"/>
      <c r="R109" s="365"/>
      <c r="S109" s="706"/>
      <c r="T109" s="706"/>
      <c r="U109" s="706"/>
      <c r="V109" s="706"/>
      <c r="W109" s="706"/>
      <c r="X109" s="706"/>
      <c r="Y109" s="366"/>
      <c r="Z109" s="328"/>
      <c r="AA109" s="367"/>
      <c r="AB109" s="368"/>
      <c r="AC109" s="36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c r="DO109" s="279"/>
      <c r="DP109" s="279"/>
      <c r="DQ109" s="279"/>
      <c r="DR109" s="279"/>
      <c r="DS109" s="279"/>
      <c r="DT109" s="279"/>
      <c r="DU109" s="279"/>
      <c r="DV109" s="279"/>
      <c r="DW109" s="279"/>
      <c r="DX109" s="279"/>
      <c r="DY109" s="279"/>
      <c r="DZ109" s="279"/>
      <c r="EA109" s="279"/>
      <c r="EB109" s="279"/>
      <c r="EC109" s="279"/>
      <c r="ED109" s="279"/>
      <c r="EE109" s="279"/>
      <c r="EF109" s="279"/>
      <c r="EG109" s="279"/>
      <c r="EH109" s="279"/>
      <c r="EI109" s="279"/>
      <c r="EJ109" s="279"/>
      <c r="EK109" s="279"/>
      <c r="EL109" s="279"/>
      <c r="EM109" s="279"/>
      <c r="EN109" s="279"/>
      <c r="EO109" s="279"/>
      <c r="EP109" s="279"/>
      <c r="EQ109" s="279"/>
      <c r="ER109" s="279"/>
      <c r="ES109" s="279"/>
      <c r="ET109" s="279"/>
      <c r="EU109" s="279"/>
      <c r="EV109" s="279"/>
      <c r="EW109" s="279"/>
      <c r="EX109" s="279"/>
      <c r="EY109" s="279"/>
      <c r="EZ109" s="279"/>
      <c r="FA109" s="279"/>
      <c r="FB109" s="279"/>
      <c r="FC109" s="279"/>
      <c r="FD109" s="279"/>
      <c r="FE109" s="279"/>
      <c r="FF109" s="279"/>
      <c r="FG109" s="279"/>
      <c r="FH109" s="279"/>
      <c r="FI109" s="279"/>
      <c r="FJ109" s="279"/>
      <c r="FK109" s="279"/>
      <c r="FL109" s="279"/>
      <c r="FM109" s="279"/>
      <c r="FN109" s="279"/>
      <c r="FO109" s="279"/>
      <c r="FP109" s="279"/>
      <c r="FQ109" s="279"/>
      <c r="FR109" s="279"/>
      <c r="FS109" s="279"/>
      <c r="FT109" s="279"/>
      <c r="FU109" s="279"/>
      <c r="FV109" s="279"/>
      <c r="FW109" s="279"/>
      <c r="FX109" s="279"/>
      <c r="FY109" s="279"/>
      <c r="FZ109" s="279"/>
      <c r="GA109" s="279"/>
      <c r="GB109" s="279"/>
      <c r="GC109" s="279"/>
      <c r="GD109" s="279"/>
      <c r="GE109" s="279"/>
      <c r="GF109" s="279"/>
      <c r="GG109" s="279"/>
      <c r="GH109" s="279"/>
      <c r="GI109" s="279"/>
      <c r="GJ109" s="279"/>
      <c r="GK109" s="279"/>
      <c r="GL109" s="279"/>
      <c r="GM109" s="279"/>
      <c r="GN109" s="279"/>
      <c r="GO109" s="279"/>
      <c r="GP109" s="279"/>
      <c r="GQ109" s="279"/>
      <c r="GR109" s="280"/>
      <c r="GS109" s="280"/>
      <c r="GT109" s="280"/>
      <c r="GU109" s="280"/>
      <c r="GV109" s="280"/>
    </row>
    <row r="110" spans="1:204" ht="30" customHeight="1" thickBot="1" x14ac:dyDescent="0.3">
      <c r="A110" s="298"/>
      <c r="B110" s="370" t="s">
        <v>185</v>
      </c>
      <c r="C110" s="370"/>
      <c r="D110" s="300"/>
      <c r="E110" s="300"/>
      <c r="F110" s="300"/>
      <c r="G110" s="300"/>
      <c r="H110" s="300"/>
      <c r="I110" s="300"/>
      <c r="J110" s="730" t="s">
        <v>345</v>
      </c>
      <c r="K110" s="731"/>
      <c r="L110" s="731"/>
      <c r="M110" s="731"/>
      <c r="N110" s="731"/>
      <c r="O110" s="731"/>
      <c r="P110" s="731"/>
      <c r="Q110" s="731"/>
      <c r="R110" s="731"/>
      <c r="S110" s="731"/>
      <c r="T110" s="731"/>
      <c r="U110" s="731"/>
      <c r="V110" s="731"/>
      <c r="W110" s="731"/>
      <c r="X110" s="732"/>
      <c r="Y110" s="301"/>
      <c r="Z110" s="301"/>
      <c r="AA110" s="301"/>
      <c r="AB110" s="426"/>
      <c r="AC110" s="302"/>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c r="CC110" s="279"/>
      <c r="CD110" s="279"/>
      <c r="CE110" s="279"/>
      <c r="CF110" s="279"/>
      <c r="CG110" s="279"/>
      <c r="CH110" s="279"/>
      <c r="CI110" s="279"/>
      <c r="CJ110" s="279"/>
      <c r="CK110" s="279"/>
      <c r="CL110" s="279"/>
      <c r="CM110" s="279"/>
      <c r="CN110" s="279"/>
      <c r="CO110" s="279"/>
      <c r="CP110" s="279"/>
      <c r="CQ110" s="279"/>
      <c r="CR110" s="279"/>
      <c r="CS110" s="279"/>
      <c r="CT110" s="279"/>
      <c r="CU110" s="279"/>
      <c r="CV110" s="279"/>
      <c r="CW110" s="279"/>
      <c r="CX110" s="279"/>
      <c r="CY110" s="279"/>
      <c r="CZ110" s="279"/>
      <c r="DA110" s="279"/>
      <c r="DB110" s="279"/>
      <c r="DC110" s="279"/>
      <c r="DD110" s="279"/>
      <c r="DE110" s="279"/>
      <c r="DF110" s="279"/>
      <c r="DG110" s="279"/>
      <c r="DH110" s="279"/>
      <c r="DI110" s="279"/>
      <c r="DJ110" s="279"/>
      <c r="DK110" s="279"/>
      <c r="DL110" s="279"/>
      <c r="DM110" s="279"/>
      <c r="DN110" s="279"/>
      <c r="DO110" s="279"/>
      <c r="DP110" s="279"/>
      <c r="DQ110" s="279"/>
      <c r="DR110" s="279"/>
      <c r="DS110" s="279"/>
      <c r="DT110" s="279"/>
      <c r="DU110" s="279"/>
      <c r="DV110" s="279"/>
      <c r="DW110" s="279"/>
      <c r="DX110" s="279"/>
      <c r="DY110" s="279"/>
      <c r="DZ110" s="279"/>
      <c r="EA110" s="279"/>
      <c r="EB110" s="279"/>
      <c r="EC110" s="279"/>
      <c r="ED110" s="279"/>
      <c r="EE110" s="279"/>
      <c r="EF110" s="279"/>
      <c r="EG110" s="279"/>
      <c r="EH110" s="279"/>
      <c r="EI110" s="279"/>
      <c r="EJ110" s="279"/>
      <c r="EK110" s="279"/>
      <c r="EL110" s="279"/>
      <c r="EM110" s="279"/>
      <c r="EN110" s="279"/>
      <c r="EO110" s="279"/>
      <c r="EP110" s="279"/>
      <c r="EQ110" s="279"/>
      <c r="ER110" s="279"/>
      <c r="ES110" s="279"/>
      <c r="ET110" s="279"/>
      <c r="EU110" s="279"/>
      <c r="EV110" s="279"/>
      <c r="EW110" s="279"/>
      <c r="EX110" s="279"/>
      <c r="EY110" s="279"/>
      <c r="EZ110" s="279"/>
      <c r="FA110" s="279"/>
      <c r="FB110" s="279"/>
      <c r="FC110" s="279"/>
      <c r="FD110" s="279"/>
      <c r="FE110" s="279"/>
      <c r="FF110" s="279"/>
      <c r="FG110" s="279"/>
      <c r="FH110" s="279"/>
      <c r="FI110" s="279"/>
      <c r="FJ110" s="279"/>
      <c r="FK110" s="279"/>
      <c r="FL110" s="279"/>
      <c r="FM110" s="279"/>
      <c r="FN110" s="279"/>
      <c r="FO110" s="279"/>
      <c r="FP110" s="279"/>
      <c r="FQ110" s="279"/>
      <c r="FR110" s="279"/>
      <c r="FS110" s="279"/>
      <c r="FT110" s="279"/>
      <c r="FU110" s="279"/>
      <c r="FV110" s="279"/>
      <c r="FW110" s="279"/>
      <c r="FX110" s="279"/>
      <c r="FY110" s="279"/>
      <c r="FZ110" s="279"/>
      <c r="GA110" s="279"/>
      <c r="GB110" s="279"/>
      <c r="GC110" s="279"/>
      <c r="GD110" s="279"/>
      <c r="GE110" s="279"/>
      <c r="GF110" s="279"/>
      <c r="GG110" s="279"/>
      <c r="GH110" s="279"/>
      <c r="GI110" s="279"/>
      <c r="GJ110" s="279"/>
      <c r="GK110" s="279"/>
      <c r="GL110" s="279"/>
      <c r="GM110" s="279"/>
      <c r="GN110" s="279"/>
      <c r="GO110" s="279"/>
      <c r="GP110" s="279"/>
      <c r="GQ110" s="279"/>
      <c r="GR110" s="280"/>
      <c r="GS110" s="280"/>
      <c r="GT110" s="280"/>
      <c r="GU110" s="280"/>
      <c r="GV110" s="280"/>
    </row>
    <row r="111" spans="1:204" ht="21.75" customHeight="1" thickBot="1" x14ac:dyDescent="0.3">
      <c r="A111" s="303"/>
      <c r="B111" s="371"/>
      <c r="C111" s="371"/>
      <c r="D111" s="306"/>
      <c r="E111" s="306"/>
      <c r="F111" s="372"/>
      <c r="G111" s="306"/>
      <c r="H111" s="372"/>
      <c r="I111" s="372"/>
      <c r="J111" s="733"/>
      <c r="K111" s="734"/>
      <c r="L111" s="734"/>
      <c r="M111" s="734"/>
      <c r="N111" s="734"/>
      <c r="O111" s="734"/>
      <c r="P111" s="734"/>
      <c r="Q111" s="734"/>
      <c r="R111" s="734"/>
      <c r="S111" s="734"/>
      <c r="T111" s="734"/>
      <c r="U111" s="734"/>
      <c r="V111" s="734"/>
      <c r="W111" s="734"/>
      <c r="X111" s="735"/>
      <c r="Y111" s="307"/>
      <c r="Z111" s="307"/>
      <c r="AA111" s="389" t="s">
        <v>356</v>
      </c>
      <c r="AB111" s="494">
        <f>AB105+AB89+AB73+AB65+AB49+AB36+AB23+AB11</f>
        <v>23.990000000000002</v>
      </c>
      <c r="AC111" s="308"/>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c r="CQ111" s="279"/>
      <c r="CR111" s="279"/>
      <c r="CS111" s="279"/>
      <c r="CT111" s="279"/>
      <c r="CU111" s="279"/>
      <c r="CV111" s="279"/>
      <c r="CW111" s="279"/>
      <c r="CX111" s="279"/>
      <c r="CY111" s="279"/>
      <c r="CZ111" s="279"/>
      <c r="DA111" s="279"/>
      <c r="DB111" s="279"/>
      <c r="DC111" s="279"/>
      <c r="DD111" s="279"/>
      <c r="DE111" s="279"/>
      <c r="DF111" s="279"/>
      <c r="DG111" s="279"/>
      <c r="DH111" s="279"/>
      <c r="DI111" s="279"/>
      <c r="DJ111" s="279"/>
      <c r="DK111" s="279"/>
      <c r="DL111" s="279"/>
      <c r="DM111" s="279"/>
      <c r="DN111" s="279"/>
      <c r="DO111" s="279"/>
      <c r="DP111" s="279"/>
      <c r="DQ111" s="279"/>
      <c r="DR111" s="279"/>
      <c r="DS111" s="279"/>
      <c r="DT111" s="279"/>
      <c r="DU111" s="279"/>
      <c r="DV111" s="279"/>
      <c r="DW111" s="279"/>
      <c r="DX111" s="279"/>
      <c r="DY111" s="279"/>
      <c r="DZ111" s="279"/>
      <c r="EA111" s="279"/>
      <c r="EB111" s="279"/>
      <c r="EC111" s="279"/>
      <c r="ED111" s="279"/>
      <c r="EE111" s="279"/>
      <c r="EF111" s="279"/>
      <c r="EG111" s="279"/>
      <c r="EH111" s="279"/>
      <c r="EI111" s="279"/>
      <c r="EJ111" s="279"/>
      <c r="EK111" s="279"/>
      <c r="EL111" s="279"/>
      <c r="EM111" s="279"/>
      <c r="EN111" s="279"/>
      <c r="EO111" s="279"/>
      <c r="EP111" s="279"/>
      <c r="EQ111" s="279"/>
      <c r="ER111" s="279"/>
      <c r="ES111" s="279"/>
      <c r="ET111" s="279"/>
      <c r="EU111" s="279"/>
      <c r="EV111" s="279"/>
      <c r="EW111" s="279"/>
      <c r="EX111" s="279"/>
      <c r="EY111" s="279"/>
      <c r="EZ111" s="279"/>
      <c r="FA111" s="279"/>
      <c r="FB111" s="279"/>
      <c r="FC111" s="279"/>
      <c r="FD111" s="279"/>
      <c r="FE111" s="279"/>
      <c r="FF111" s="279"/>
      <c r="FG111" s="279"/>
      <c r="FH111" s="279"/>
      <c r="FI111" s="279"/>
      <c r="FJ111" s="279"/>
      <c r="FK111" s="279"/>
      <c r="FL111" s="279"/>
      <c r="FM111" s="279"/>
      <c r="FN111" s="279"/>
      <c r="FO111" s="279"/>
      <c r="FP111" s="279"/>
      <c r="FQ111" s="279"/>
      <c r="FR111" s="279"/>
      <c r="FS111" s="279"/>
      <c r="FT111" s="279"/>
      <c r="FU111" s="279"/>
      <c r="FV111" s="279"/>
      <c r="FW111" s="279"/>
      <c r="FX111" s="279"/>
      <c r="FY111" s="279"/>
      <c r="FZ111" s="279"/>
      <c r="GA111" s="279"/>
      <c r="GB111" s="279"/>
      <c r="GC111" s="279"/>
      <c r="GD111" s="279"/>
      <c r="GE111" s="279"/>
      <c r="GF111" s="279"/>
      <c r="GG111" s="279"/>
      <c r="GH111" s="279"/>
      <c r="GI111" s="279"/>
      <c r="GJ111" s="279"/>
      <c r="GK111" s="279"/>
      <c r="GL111" s="279"/>
      <c r="GM111" s="279"/>
      <c r="GN111" s="279"/>
      <c r="GO111" s="279"/>
      <c r="GP111" s="279"/>
      <c r="GQ111" s="279"/>
      <c r="GR111" s="280"/>
      <c r="GS111" s="280"/>
      <c r="GT111" s="280"/>
      <c r="GU111" s="280"/>
      <c r="GV111" s="280"/>
    </row>
    <row r="112" spans="1:204" ht="21.75" customHeight="1" thickBot="1" x14ac:dyDescent="0.3">
      <c r="A112" s="303"/>
      <c r="B112" s="306"/>
      <c r="C112" s="306"/>
      <c r="D112" s="306"/>
      <c r="E112" s="306"/>
      <c r="F112" s="306"/>
      <c r="G112" s="373"/>
      <c r="H112" s="373"/>
      <c r="I112" s="372"/>
      <c r="J112" s="736"/>
      <c r="K112" s="737"/>
      <c r="L112" s="737"/>
      <c r="M112" s="737"/>
      <c r="N112" s="737"/>
      <c r="O112" s="737"/>
      <c r="P112" s="737"/>
      <c r="Q112" s="737"/>
      <c r="R112" s="737"/>
      <c r="S112" s="737"/>
      <c r="T112" s="737"/>
      <c r="U112" s="737"/>
      <c r="V112" s="737"/>
      <c r="W112" s="737"/>
      <c r="X112" s="738"/>
      <c r="Y112" s="307"/>
      <c r="Z112" s="307"/>
      <c r="AA112" s="389" t="s">
        <v>358</v>
      </c>
      <c r="AB112" s="494">
        <f>ROUND(AB111*0.09,2)</f>
        <v>2.16</v>
      </c>
      <c r="AC112" s="308"/>
      <c r="AD112" s="279"/>
      <c r="AE112" s="374"/>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c r="CV112" s="279"/>
      <c r="CW112" s="279"/>
      <c r="CX112" s="279"/>
      <c r="CY112" s="279"/>
      <c r="CZ112" s="279"/>
      <c r="DA112" s="279"/>
      <c r="DB112" s="279"/>
      <c r="DC112" s="279"/>
      <c r="DD112" s="279"/>
      <c r="DE112" s="279"/>
      <c r="DF112" s="279"/>
      <c r="DG112" s="279"/>
      <c r="DH112" s="279"/>
      <c r="DI112" s="279"/>
      <c r="DJ112" s="279"/>
      <c r="DK112" s="279"/>
      <c r="DL112" s="279"/>
      <c r="DM112" s="279"/>
      <c r="DN112" s="279"/>
      <c r="DO112" s="279"/>
      <c r="DP112" s="279"/>
      <c r="DQ112" s="279"/>
      <c r="DR112" s="279"/>
      <c r="DS112" s="279"/>
      <c r="DT112" s="279"/>
      <c r="DU112" s="279"/>
      <c r="DV112" s="279"/>
      <c r="DW112" s="279"/>
      <c r="DX112" s="279"/>
      <c r="DY112" s="279"/>
      <c r="DZ112" s="279"/>
      <c r="EA112" s="279"/>
      <c r="EB112" s="279"/>
      <c r="EC112" s="279"/>
      <c r="ED112" s="279"/>
      <c r="EE112" s="279"/>
      <c r="EF112" s="279"/>
      <c r="EG112" s="279"/>
      <c r="EH112" s="279"/>
      <c r="EI112" s="279"/>
      <c r="EJ112" s="279"/>
      <c r="EK112" s="279"/>
      <c r="EL112" s="279"/>
      <c r="EM112" s="279"/>
      <c r="EN112" s="279"/>
      <c r="EO112" s="279"/>
      <c r="EP112" s="279"/>
      <c r="EQ112" s="279"/>
      <c r="ER112" s="279"/>
      <c r="ES112" s="279"/>
      <c r="ET112" s="279"/>
      <c r="EU112" s="279"/>
      <c r="EV112" s="279"/>
      <c r="EW112" s="279"/>
      <c r="EX112" s="279"/>
      <c r="EY112" s="279"/>
      <c r="EZ112" s="279"/>
      <c r="FA112" s="279"/>
      <c r="FB112" s="279"/>
      <c r="FC112" s="279"/>
      <c r="FD112" s="279"/>
      <c r="FE112" s="279"/>
      <c r="FF112" s="279"/>
      <c r="FG112" s="279"/>
      <c r="FH112" s="279"/>
      <c r="FI112" s="279"/>
      <c r="FJ112" s="279"/>
      <c r="FK112" s="279"/>
      <c r="FL112" s="279"/>
      <c r="FM112" s="279"/>
      <c r="FN112" s="279"/>
      <c r="FO112" s="279"/>
      <c r="FP112" s="279"/>
      <c r="FQ112" s="279"/>
      <c r="FR112" s="279"/>
      <c r="FS112" s="279"/>
      <c r="FT112" s="279"/>
      <c r="FU112" s="279"/>
      <c r="FV112" s="279"/>
      <c r="FW112" s="279"/>
      <c r="FX112" s="279"/>
      <c r="FY112" s="279"/>
      <c r="FZ112" s="279"/>
      <c r="GA112" s="279"/>
      <c r="GB112" s="279"/>
      <c r="GC112" s="279"/>
      <c r="GD112" s="279"/>
      <c r="GE112" s="279"/>
      <c r="GF112" s="279"/>
      <c r="GG112" s="279"/>
      <c r="GH112" s="279"/>
      <c r="GI112" s="279"/>
      <c r="GJ112" s="279"/>
      <c r="GK112" s="279"/>
      <c r="GL112" s="279"/>
      <c r="GM112" s="279"/>
      <c r="GN112" s="279"/>
      <c r="GO112" s="279"/>
      <c r="GP112" s="279"/>
      <c r="GQ112" s="279"/>
      <c r="GR112" s="280"/>
      <c r="GS112" s="280"/>
      <c r="GT112" s="280"/>
      <c r="GU112" s="280"/>
      <c r="GV112" s="280"/>
    </row>
    <row r="113" spans="1:204" ht="21.75" customHeight="1" thickBot="1" x14ac:dyDescent="0.3">
      <c r="A113" s="303"/>
      <c r="B113" s="306"/>
      <c r="C113" s="306"/>
      <c r="D113" s="306"/>
      <c r="E113" s="306"/>
      <c r="F113" s="306"/>
      <c r="G113" s="373"/>
      <c r="H113" s="373"/>
      <c r="I113" s="306"/>
      <c r="J113" s="306"/>
      <c r="K113" s="306"/>
      <c r="L113" s="306"/>
      <c r="M113" s="306"/>
      <c r="N113" s="306"/>
      <c r="O113" s="306"/>
      <c r="P113" s="306"/>
      <c r="Q113" s="306"/>
      <c r="R113" s="306"/>
      <c r="S113" s="306"/>
      <c r="T113" s="306"/>
      <c r="U113" s="306"/>
      <c r="V113" s="306"/>
      <c r="W113" s="306"/>
      <c r="X113" s="306"/>
      <c r="Y113" s="307"/>
      <c r="Z113" s="307"/>
      <c r="AA113" s="389" t="s">
        <v>359</v>
      </c>
      <c r="AB113" s="494">
        <f>AB111+AB112</f>
        <v>26.150000000000002</v>
      </c>
      <c r="AC113" s="308"/>
      <c r="AD113" s="279"/>
      <c r="AE113" s="374"/>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c r="DP113" s="279"/>
      <c r="DQ113" s="279"/>
      <c r="DR113" s="279"/>
      <c r="DS113" s="279"/>
      <c r="DT113" s="279"/>
      <c r="DU113" s="279"/>
      <c r="DV113" s="279"/>
      <c r="DW113" s="279"/>
      <c r="DX113" s="279"/>
      <c r="DY113" s="279"/>
      <c r="DZ113" s="279"/>
      <c r="EA113" s="279"/>
      <c r="EB113" s="279"/>
      <c r="EC113" s="279"/>
      <c r="ED113" s="279"/>
      <c r="EE113" s="279"/>
      <c r="EF113" s="279"/>
      <c r="EG113" s="279"/>
      <c r="EH113" s="279"/>
      <c r="EI113" s="279"/>
      <c r="EJ113" s="279"/>
      <c r="EK113" s="279"/>
      <c r="EL113" s="279"/>
      <c r="EM113" s="279"/>
      <c r="EN113" s="279"/>
      <c r="EO113" s="279"/>
      <c r="EP113" s="279"/>
      <c r="EQ113" s="279"/>
      <c r="ER113" s="279"/>
      <c r="ES113" s="279"/>
      <c r="ET113" s="279"/>
      <c r="EU113" s="279"/>
      <c r="EV113" s="279"/>
      <c r="EW113" s="279"/>
      <c r="EX113" s="279"/>
      <c r="EY113" s="279"/>
      <c r="EZ113" s="279"/>
      <c r="FA113" s="279"/>
      <c r="FB113" s="279"/>
      <c r="FC113" s="279"/>
      <c r="FD113" s="279"/>
      <c r="FE113" s="279"/>
      <c r="FF113" s="279"/>
      <c r="FG113" s="279"/>
      <c r="FH113" s="279"/>
      <c r="FI113" s="279"/>
      <c r="FJ113" s="279"/>
      <c r="FK113" s="279"/>
      <c r="FL113" s="279"/>
      <c r="FM113" s="279"/>
      <c r="FN113" s="279"/>
      <c r="FO113" s="279"/>
      <c r="FP113" s="279"/>
      <c r="FQ113" s="279"/>
      <c r="FR113" s="279"/>
      <c r="FS113" s="279"/>
      <c r="FT113" s="279"/>
      <c r="FU113" s="279"/>
      <c r="FV113" s="279"/>
      <c r="FW113" s="279"/>
      <c r="FX113" s="279"/>
      <c r="FY113" s="279"/>
      <c r="FZ113" s="279"/>
      <c r="GA113" s="279"/>
      <c r="GB113" s="279"/>
      <c r="GC113" s="279"/>
      <c r="GD113" s="279"/>
      <c r="GE113" s="279"/>
      <c r="GF113" s="279"/>
      <c r="GG113" s="279"/>
      <c r="GH113" s="279"/>
      <c r="GI113" s="279"/>
      <c r="GJ113" s="279"/>
      <c r="GK113" s="279"/>
      <c r="GL113" s="279"/>
      <c r="GM113" s="279"/>
      <c r="GN113" s="279"/>
      <c r="GO113" s="279"/>
      <c r="GP113" s="279"/>
      <c r="GQ113" s="279"/>
      <c r="GR113" s="280"/>
      <c r="GS113" s="280"/>
      <c r="GT113" s="280"/>
      <c r="GU113" s="280"/>
      <c r="GV113" s="280"/>
    </row>
    <row r="114" spans="1:204" ht="30" customHeight="1" thickBot="1" x14ac:dyDescent="0.3">
      <c r="A114" s="303"/>
      <c r="B114" s="306"/>
      <c r="C114" s="306"/>
      <c r="D114" s="306"/>
      <c r="E114" s="306"/>
      <c r="F114" s="306"/>
      <c r="G114" s="373"/>
      <c r="H114" s="373"/>
      <c r="I114" s="306"/>
      <c r="J114" s="306"/>
      <c r="K114" s="306"/>
      <c r="L114" s="306"/>
      <c r="M114" s="306"/>
      <c r="N114" s="306"/>
      <c r="O114" s="306"/>
      <c r="P114" s="306"/>
      <c r="Q114" s="306"/>
      <c r="R114" s="306"/>
      <c r="S114" s="306"/>
      <c r="T114" s="306"/>
      <c r="U114" s="306"/>
      <c r="V114" s="306"/>
      <c r="W114" s="306"/>
      <c r="X114" s="306"/>
      <c r="Y114" s="307"/>
      <c r="Z114" s="307"/>
      <c r="AA114" s="381"/>
      <c r="AB114" s="427"/>
      <c r="AC114" s="308"/>
      <c r="AD114" s="279"/>
      <c r="AE114" s="374"/>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79"/>
      <c r="DF114" s="279"/>
      <c r="DG114" s="279"/>
      <c r="DH114" s="279"/>
      <c r="DI114" s="279"/>
      <c r="DJ114" s="279"/>
      <c r="DK114" s="279"/>
      <c r="DL114" s="279"/>
      <c r="DM114" s="279"/>
      <c r="DN114" s="279"/>
      <c r="DO114" s="279"/>
      <c r="DP114" s="279"/>
      <c r="DQ114" s="279"/>
      <c r="DR114" s="279"/>
      <c r="DS114" s="279"/>
      <c r="DT114" s="279"/>
      <c r="DU114" s="279"/>
      <c r="DV114" s="279"/>
      <c r="DW114" s="279"/>
      <c r="DX114" s="279"/>
      <c r="DY114" s="279"/>
      <c r="DZ114" s="279"/>
      <c r="EA114" s="279"/>
      <c r="EB114" s="279"/>
      <c r="EC114" s="279"/>
      <c r="ED114" s="279"/>
      <c r="EE114" s="279"/>
      <c r="EF114" s="279"/>
      <c r="EG114" s="279"/>
      <c r="EH114" s="279"/>
      <c r="EI114" s="279"/>
      <c r="EJ114" s="279"/>
      <c r="EK114" s="279"/>
      <c r="EL114" s="279"/>
      <c r="EM114" s="279"/>
      <c r="EN114" s="279"/>
      <c r="EO114" s="279"/>
      <c r="EP114" s="279"/>
      <c r="EQ114" s="279"/>
      <c r="ER114" s="279"/>
      <c r="ES114" s="279"/>
      <c r="ET114" s="279"/>
      <c r="EU114" s="279"/>
      <c r="EV114" s="279"/>
      <c r="EW114" s="279"/>
      <c r="EX114" s="279"/>
      <c r="EY114" s="279"/>
      <c r="EZ114" s="279"/>
      <c r="FA114" s="279"/>
      <c r="FB114" s="279"/>
      <c r="FC114" s="279"/>
      <c r="FD114" s="279"/>
      <c r="FE114" s="279"/>
      <c r="FF114" s="279"/>
      <c r="FG114" s="279"/>
      <c r="FH114" s="279"/>
      <c r="FI114" s="279"/>
      <c r="FJ114" s="279"/>
      <c r="FK114" s="279"/>
      <c r="FL114" s="279"/>
      <c r="FM114" s="279"/>
      <c r="FN114" s="279"/>
      <c r="FO114" s="279"/>
      <c r="FP114" s="279"/>
      <c r="FQ114" s="279"/>
      <c r="FR114" s="279"/>
      <c r="FS114" s="279"/>
      <c r="FT114" s="279"/>
      <c r="FU114" s="279"/>
      <c r="FV114" s="279"/>
      <c r="FW114" s="279"/>
      <c r="FX114" s="279"/>
      <c r="FY114" s="279"/>
      <c r="FZ114" s="279"/>
      <c r="GA114" s="279"/>
      <c r="GB114" s="279"/>
      <c r="GC114" s="279"/>
      <c r="GD114" s="279"/>
      <c r="GE114" s="279"/>
      <c r="GF114" s="279"/>
      <c r="GG114" s="279"/>
      <c r="GH114" s="279"/>
      <c r="GI114" s="279"/>
      <c r="GJ114" s="279"/>
      <c r="GK114" s="279"/>
      <c r="GL114" s="279"/>
      <c r="GM114" s="279"/>
      <c r="GN114" s="279"/>
      <c r="GO114" s="279"/>
      <c r="GP114" s="279"/>
      <c r="GQ114" s="279"/>
      <c r="GR114" s="280"/>
      <c r="GS114" s="280"/>
      <c r="GT114" s="280"/>
      <c r="GU114" s="280"/>
      <c r="GV114" s="280"/>
    </row>
    <row r="115" spans="1:204" ht="21.75" customHeight="1" thickBot="1" x14ac:dyDescent="0.3">
      <c r="A115" s="303"/>
      <c r="B115" s="306"/>
      <c r="C115" s="306"/>
      <c r="D115" s="306"/>
      <c r="E115" s="306"/>
      <c r="F115" s="306"/>
      <c r="G115" s="373"/>
      <c r="H115" s="373"/>
      <c r="I115" s="306"/>
      <c r="J115" s="306"/>
      <c r="K115" s="306"/>
      <c r="L115" s="306"/>
      <c r="M115" s="306"/>
      <c r="N115" s="306"/>
      <c r="O115" s="306"/>
      <c r="P115" s="306"/>
      <c r="Q115" s="306"/>
      <c r="R115" s="306"/>
      <c r="S115" s="306"/>
      <c r="T115" s="306"/>
      <c r="U115" s="306"/>
      <c r="V115" s="306"/>
      <c r="W115" s="306"/>
      <c r="X115" s="306"/>
      <c r="Y115" s="307"/>
      <c r="Z115" s="307"/>
      <c r="AA115" s="390" t="s">
        <v>360</v>
      </c>
      <c r="AB115" s="493">
        <v>0</v>
      </c>
      <c r="AC115" s="375"/>
      <c r="AD115" s="279"/>
      <c r="AE115" s="374"/>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79"/>
      <c r="DF115" s="279"/>
      <c r="DG115" s="279"/>
      <c r="DH115" s="279"/>
      <c r="DI115" s="279"/>
      <c r="DJ115" s="279"/>
      <c r="DK115" s="279"/>
      <c r="DL115" s="279"/>
      <c r="DM115" s="279"/>
      <c r="DN115" s="279"/>
      <c r="DO115" s="279"/>
      <c r="DP115" s="279"/>
      <c r="DQ115" s="279"/>
      <c r="DR115" s="279"/>
      <c r="DS115" s="279"/>
      <c r="DT115" s="279"/>
      <c r="DU115" s="279"/>
      <c r="DV115" s="279"/>
      <c r="DW115" s="279"/>
      <c r="DX115" s="279"/>
      <c r="DY115" s="279"/>
      <c r="DZ115" s="279"/>
      <c r="EA115" s="279"/>
      <c r="EB115" s="279"/>
      <c r="EC115" s="279"/>
      <c r="ED115" s="279"/>
      <c r="EE115" s="279"/>
      <c r="EF115" s="279"/>
      <c r="EG115" s="279"/>
      <c r="EH115" s="279"/>
      <c r="EI115" s="279"/>
      <c r="EJ115" s="279"/>
      <c r="EK115" s="279"/>
      <c r="EL115" s="279"/>
      <c r="EM115" s="279"/>
      <c r="EN115" s="279"/>
      <c r="EO115" s="279"/>
      <c r="EP115" s="279"/>
      <c r="EQ115" s="279"/>
      <c r="ER115" s="279"/>
      <c r="ES115" s="279"/>
      <c r="ET115" s="279"/>
      <c r="EU115" s="279"/>
      <c r="EV115" s="279"/>
      <c r="EW115" s="279"/>
      <c r="EX115" s="279"/>
      <c r="EY115" s="279"/>
      <c r="EZ115" s="279"/>
      <c r="FA115" s="279"/>
      <c r="FB115" s="279"/>
      <c r="FC115" s="279"/>
      <c r="FD115" s="279"/>
      <c r="FE115" s="279"/>
      <c r="FF115" s="279"/>
      <c r="FG115" s="279"/>
      <c r="FH115" s="279"/>
      <c r="FI115" s="279"/>
      <c r="FJ115" s="279"/>
      <c r="FK115" s="279"/>
      <c r="FL115" s="279"/>
      <c r="FM115" s="279"/>
      <c r="FN115" s="279"/>
      <c r="FO115" s="279"/>
      <c r="FP115" s="279"/>
      <c r="FQ115" s="279"/>
      <c r="FR115" s="279"/>
      <c r="FS115" s="279"/>
      <c r="FT115" s="279"/>
      <c r="FU115" s="279"/>
      <c r="FV115" s="279"/>
      <c r="FW115" s="279"/>
      <c r="FX115" s="279"/>
      <c r="FY115" s="279"/>
      <c r="FZ115" s="279"/>
      <c r="GA115" s="279"/>
      <c r="GB115" s="279"/>
      <c r="GC115" s="279"/>
      <c r="GD115" s="279"/>
      <c r="GE115" s="279"/>
      <c r="GF115" s="279"/>
      <c r="GG115" s="279"/>
      <c r="GH115" s="279"/>
      <c r="GI115" s="279"/>
      <c r="GJ115" s="279"/>
      <c r="GK115" s="279"/>
      <c r="GL115" s="279"/>
      <c r="GM115" s="279"/>
      <c r="GN115" s="279"/>
      <c r="GO115" s="279"/>
      <c r="GP115" s="279"/>
      <c r="GQ115" s="279"/>
      <c r="GR115" s="280"/>
      <c r="GS115" s="280"/>
      <c r="GT115" s="280"/>
      <c r="GU115" s="280"/>
      <c r="GV115" s="280"/>
    </row>
    <row r="116" spans="1:204" ht="17.25" customHeight="1" thickBot="1" x14ac:dyDescent="0.3">
      <c r="A116" s="303"/>
      <c r="B116" s="306"/>
      <c r="C116" s="306"/>
      <c r="D116" s="306"/>
      <c r="E116" s="306"/>
      <c r="F116" s="306"/>
      <c r="G116" s="373"/>
      <c r="H116" s="373"/>
      <c r="I116" s="306"/>
      <c r="J116" s="306"/>
      <c r="K116" s="306"/>
      <c r="L116" s="306"/>
      <c r="M116" s="306"/>
      <c r="N116" s="306"/>
      <c r="O116" s="306"/>
      <c r="P116" s="306"/>
      <c r="Q116" s="306"/>
      <c r="R116" s="306"/>
      <c r="S116" s="306"/>
      <c r="T116" s="306"/>
      <c r="U116" s="306"/>
      <c r="V116" s="306"/>
      <c r="W116" s="306"/>
      <c r="X116" s="306"/>
      <c r="Y116" s="307"/>
      <c r="Z116" s="307"/>
      <c r="AA116" s="391" t="s">
        <v>186</v>
      </c>
      <c r="AB116" s="427"/>
      <c r="AC116" s="308"/>
      <c r="AD116" s="279"/>
      <c r="AE116" s="374"/>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c r="EA116" s="279"/>
      <c r="EB116" s="279"/>
      <c r="EC116" s="279"/>
      <c r="ED116" s="279"/>
      <c r="EE116" s="279"/>
      <c r="EF116" s="279"/>
      <c r="EG116" s="279"/>
      <c r="EH116" s="279"/>
      <c r="EI116" s="279"/>
      <c r="EJ116" s="279"/>
      <c r="EK116" s="279"/>
      <c r="EL116" s="279"/>
      <c r="EM116" s="279"/>
      <c r="EN116" s="279"/>
      <c r="EO116" s="279"/>
      <c r="EP116" s="279"/>
      <c r="EQ116" s="279"/>
      <c r="ER116" s="279"/>
      <c r="ES116" s="279"/>
      <c r="ET116" s="279"/>
      <c r="EU116" s="279"/>
      <c r="EV116" s="279"/>
      <c r="EW116" s="279"/>
      <c r="EX116" s="279"/>
      <c r="EY116" s="279"/>
      <c r="EZ116" s="279"/>
      <c r="FA116" s="279"/>
      <c r="FB116" s="279"/>
      <c r="FC116" s="279"/>
      <c r="FD116" s="279"/>
      <c r="FE116" s="279"/>
      <c r="FF116" s="279"/>
      <c r="FG116" s="279"/>
      <c r="FH116" s="279"/>
      <c r="FI116" s="279"/>
      <c r="FJ116" s="279"/>
      <c r="FK116" s="279"/>
      <c r="FL116" s="279"/>
      <c r="FM116" s="279"/>
      <c r="FN116" s="279"/>
      <c r="FO116" s="279"/>
      <c r="FP116" s="279"/>
      <c r="FQ116" s="279"/>
      <c r="FR116" s="279"/>
      <c r="FS116" s="279"/>
      <c r="FT116" s="279"/>
      <c r="FU116" s="279"/>
      <c r="FV116" s="279"/>
      <c r="FW116" s="279"/>
      <c r="FX116" s="279"/>
      <c r="FY116" s="279"/>
      <c r="FZ116" s="279"/>
      <c r="GA116" s="279"/>
      <c r="GB116" s="279"/>
      <c r="GC116" s="279"/>
      <c r="GD116" s="279"/>
      <c r="GE116" s="279"/>
      <c r="GF116" s="279"/>
      <c r="GG116" s="279"/>
      <c r="GH116" s="279"/>
      <c r="GI116" s="279"/>
      <c r="GJ116" s="279"/>
      <c r="GK116" s="279"/>
      <c r="GL116" s="279"/>
      <c r="GM116" s="279"/>
      <c r="GN116" s="279"/>
      <c r="GO116" s="279"/>
      <c r="GP116" s="279"/>
      <c r="GQ116" s="279"/>
      <c r="GR116" s="280"/>
      <c r="GS116" s="280"/>
      <c r="GT116" s="280"/>
      <c r="GU116" s="280"/>
      <c r="GV116" s="280"/>
    </row>
    <row r="117" spans="1:204" ht="21.75" customHeight="1" thickBot="1" x14ac:dyDescent="0.3">
      <c r="A117" s="303"/>
      <c r="B117" s="306"/>
      <c r="C117" s="306"/>
      <c r="D117" s="306"/>
      <c r="E117" s="306"/>
      <c r="F117" s="306"/>
      <c r="G117" s="373"/>
      <c r="H117" s="373"/>
      <c r="I117" s="306"/>
      <c r="J117" s="306"/>
      <c r="K117" s="306"/>
      <c r="L117" s="306"/>
      <c r="M117" s="306"/>
      <c r="N117" s="306"/>
      <c r="O117" s="306"/>
      <c r="P117" s="306"/>
      <c r="Q117" s="306"/>
      <c r="R117" s="306"/>
      <c r="S117" s="306"/>
      <c r="T117" s="306"/>
      <c r="U117" s="306"/>
      <c r="V117" s="306"/>
      <c r="W117" s="306"/>
      <c r="X117" s="306"/>
      <c r="Y117" s="307"/>
      <c r="Z117" s="307"/>
      <c r="AA117" s="392" t="s">
        <v>361</v>
      </c>
      <c r="AB117" s="492">
        <f>AB113-AB115</f>
        <v>26.150000000000002</v>
      </c>
      <c r="AC117" s="308"/>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c r="DF117" s="279"/>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c r="EA117" s="279"/>
      <c r="EB117" s="279"/>
      <c r="EC117" s="279"/>
      <c r="ED117" s="279"/>
      <c r="EE117" s="279"/>
      <c r="EF117" s="279"/>
      <c r="EG117" s="279"/>
      <c r="EH117" s="279"/>
      <c r="EI117" s="279"/>
      <c r="EJ117" s="279"/>
      <c r="EK117" s="279"/>
      <c r="EL117" s="279"/>
      <c r="EM117" s="279"/>
      <c r="EN117" s="279"/>
      <c r="EO117" s="279"/>
      <c r="EP117" s="279"/>
      <c r="EQ117" s="279"/>
      <c r="ER117" s="279"/>
      <c r="ES117" s="279"/>
      <c r="ET117" s="279"/>
      <c r="EU117" s="279"/>
      <c r="EV117" s="279"/>
      <c r="EW117" s="279"/>
      <c r="EX117" s="279"/>
      <c r="EY117" s="279"/>
      <c r="EZ117" s="279"/>
      <c r="FA117" s="279"/>
      <c r="FB117" s="279"/>
      <c r="FC117" s="279"/>
      <c r="FD117" s="279"/>
      <c r="FE117" s="279"/>
      <c r="FF117" s="279"/>
      <c r="FG117" s="279"/>
      <c r="FH117" s="279"/>
      <c r="FI117" s="279"/>
      <c r="FJ117" s="279"/>
      <c r="FK117" s="279"/>
      <c r="FL117" s="279"/>
      <c r="FM117" s="279"/>
      <c r="FN117" s="279"/>
      <c r="FO117" s="279"/>
      <c r="FP117" s="279"/>
      <c r="FQ117" s="279"/>
      <c r="FR117" s="279"/>
      <c r="FS117" s="279"/>
      <c r="FT117" s="279"/>
      <c r="FU117" s="279"/>
      <c r="FV117" s="279"/>
      <c r="FW117" s="279"/>
      <c r="FX117" s="279"/>
      <c r="FY117" s="279"/>
      <c r="FZ117" s="279"/>
      <c r="GA117" s="279"/>
      <c r="GB117" s="279"/>
      <c r="GC117" s="279"/>
      <c r="GD117" s="279"/>
      <c r="GE117" s="279"/>
      <c r="GF117" s="279"/>
      <c r="GG117" s="279"/>
      <c r="GH117" s="279"/>
      <c r="GI117" s="279"/>
      <c r="GJ117" s="279"/>
      <c r="GK117" s="279"/>
      <c r="GL117" s="279"/>
      <c r="GM117" s="279"/>
      <c r="GN117" s="279"/>
      <c r="GO117" s="279"/>
      <c r="GP117" s="279"/>
      <c r="GQ117" s="279"/>
      <c r="GR117" s="280"/>
      <c r="GS117" s="280"/>
      <c r="GT117" s="280"/>
      <c r="GU117" s="280"/>
      <c r="GV117" s="280"/>
    </row>
    <row r="118" spans="1:204" ht="3.75" customHeight="1" thickBot="1" x14ac:dyDescent="0.3">
      <c r="A118" s="303"/>
      <c r="B118" s="306"/>
      <c r="C118" s="306"/>
      <c r="D118" s="306"/>
      <c r="E118" s="306"/>
      <c r="F118" s="306"/>
      <c r="G118" s="373"/>
      <c r="H118" s="373"/>
      <c r="I118" s="306"/>
      <c r="J118" s="306"/>
      <c r="K118" s="306"/>
      <c r="L118" s="306"/>
      <c r="M118" s="306"/>
      <c r="N118" s="306"/>
      <c r="O118" s="306"/>
      <c r="P118" s="306"/>
      <c r="Q118" s="306"/>
      <c r="R118" s="306"/>
      <c r="S118" s="306"/>
      <c r="T118" s="306"/>
      <c r="U118" s="306"/>
      <c r="V118" s="306"/>
      <c r="W118" s="306"/>
      <c r="X118" s="306"/>
      <c r="Y118" s="307"/>
      <c r="Z118" s="307"/>
      <c r="AA118" s="307"/>
      <c r="AB118" s="424"/>
      <c r="AC118" s="308"/>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79"/>
      <c r="DF118" s="279"/>
      <c r="DG118" s="279"/>
      <c r="DH118" s="279"/>
      <c r="DI118" s="279"/>
      <c r="DJ118" s="279"/>
      <c r="DK118" s="279"/>
      <c r="DL118" s="279"/>
      <c r="DM118" s="279"/>
      <c r="DN118" s="279"/>
      <c r="DO118" s="279"/>
      <c r="DP118" s="279"/>
      <c r="DQ118" s="279"/>
      <c r="DR118" s="279"/>
      <c r="DS118" s="279"/>
      <c r="DT118" s="279"/>
      <c r="DU118" s="279"/>
      <c r="DV118" s="279"/>
      <c r="DW118" s="279"/>
      <c r="DX118" s="279"/>
      <c r="DY118" s="279"/>
      <c r="DZ118" s="279"/>
      <c r="EA118" s="279"/>
      <c r="EB118" s="279"/>
      <c r="EC118" s="279"/>
      <c r="ED118" s="279"/>
      <c r="EE118" s="279"/>
      <c r="EF118" s="279"/>
      <c r="EG118" s="279"/>
      <c r="EH118" s="279"/>
      <c r="EI118" s="279"/>
      <c r="EJ118" s="279"/>
      <c r="EK118" s="279"/>
      <c r="EL118" s="279"/>
      <c r="EM118" s="279"/>
      <c r="EN118" s="279"/>
      <c r="EO118" s="279"/>
      <c r="EP118" s="279"/>
      <c r="EQ118" s="279"/>
      <c r="ER118" s="279"/>
      <c r="ES118" s="279"/>
      <c r="ET118" s="279"/>
      <c r="EU118" s="279"/>
      <c r="EV118" s="279"/>
      <c r="EW118" s="279"/>
      <c r="EX118" s="279"/>
      <c r="EY118" s="279"/>
      <c r="EZ118" s="279"/>
      <c r="FA118" s="279"/>
      <c r="FB118" s="279"/>
      <c r="FC118" s="279"/>
      <c r="FD118" s="279"/>
      <c r="FE118" s="279"/>
      <c r="FF118" s="279"/>
      <c r="FG118" s="279"/>
      <c r="FH118" s="279"/>
      <c r="FI118" s="279"/>
      <c r="FJ118" s="279"/>
      <c r="FK118" s="279"/>
      <c r="FL118" s="279"/>
      <c r="FM118" s="279"/>
      <c r="FN118" s="279"/>
      <c r="FO118" s="279"/>
      <c r="FP118" s="279"/>
      <c r="FQ118" s="279"/>
      <c r="FR118" s="279"/>
      <c r="FS118" s="279"/>
      <c r="FT118" s="279"/>
      <c r="FU118" s="279"/>
      <c r="FV118" s="279"/>
      <c r="FW118" s="279"/>
      <c r="FX118" s="279"/>
      <c r="FY118" s="279"/>
      <c r="FZ118" s="279"/>
      <c r="GA118" s="279"/>
      <c r="GB118" s="279"/>
      <c r="GC118" s="279"/>
      <c r="GD118" s="279"/>
      <c r="GE118" s="279"/>
      <c r="GF118" s="279"/>
      <c r="GG118" s="279"/>
      <c r="GH118" s="279"/>
      <c r="GI118" s="279"/>
      <c r="GJ118" s="279"/>
      <c r="GK118" s="279"/>
      <c r="GL118" s="279"/>
      <c r="GM118" s="279"/>
      <c r="GN118" s="279"/>
      <c r="GO118" s="279"/>
      <c r="GP118" s="279"/>
      <c r="GQ118" s="279"/>
      <c r="GR118" s="280"/>
      <c r="GS118" s="280"/>
      <c r="GT118" s="280"/>
      <c r="GU118" s="280"/>
      <c r="GV118" s="280"/>
    </row>
    <row r="119" spans="1:204" ht="21.75" customHeight="1" thickBot="1" x14ac:dyDescent="0.3">
      <c r="A119" s="30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7"/>
      <c r="Z119" s="307"/>
      <c r="AA119" s="392" t="s">
        <v>362</v>
      </c>
      <c r="AB119" s="492">
        <f>26*AB117</f>
        <v>679.90000000000009</v>
      </c>
      <c r="AC119" s="308"/>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c r="EA119" s="279"/>
      <c r="EB119" s="279"/>
      <c r="EC119" s="279"/>
      <c r="ED119" s="279"/>
      <c r="EE119" s="279"/>
      <c r="EF119" s="279"/>
      <c r="EG119" s="279"/>
      <c r="EH119" s="279"/>
      <c r="EI119" s="279"/>
      <c r="EJ119" s="279"/>
      <c r="EK119" s="279"/>
      <c r="EL119" s="279"/>
      <c r="EM119" s="279"/>
      <c r="EN119" s="279"/>
      <c r="EO119" s="279"/>
      <c r="EP119" s="279"/>
      <c r="EQ119" s="279"/>
      <c r="ER119" s="279"/>
      <c r="ES119" s="279"/>
      <c r="ET119" s="279"/>
      <c r="EU119" s="279"/>
      <c r="EV119" s="279"/>
      <c r="EW119" s="279"/>
      <c r="EX119" s="279"/>
      <c r="EY119" s="279"/>
      <c r="EZ119" s="279"/>
      <c r="FA119" s="279"/>
      <c r="FB119" s="279"/>
      <c r="FC119" s="279"/>
      <c r="FD119" s="279"/>
      <c r="FE119" s="279"/>
      <c r="FF119" s="279"/>
      <c r="FG119" s="279"/>
      <c r="FH119" s="279"/>
      <c r="FI119" s="279"/>
      <c r="FJ119" s="279"/>
      <c r="FK119" s="279"/>
      <c r="FL119" s="279"/>
      <c r="FM119" s="279"/>
      <c r="FN119" s="279"/>
      <c r="FO119" s="279"/>
      <c r="FP119" s="279"/>
      <c r="FQ119" s="279"/>
      <c r="FR119" s="279"/>
      <c r="FS119" s="279"/>
      <c r="FT119" s="279"/>
      <c r="FU119" s="279"/>
      <c r="FV119" s="279"/>
      <c r="FW119" s="279"/>
      <c r="FX119" s="279"/>
      <c r="FY119" s="279"/>
      <c r="FZ119" s="279"/>
      <c r="GA119" s="279"/>
      <c r="GB119" s="279"/>
      <c r="GC119" s="279"/>
      <c r="GD119" s="279"/>
      <c r="GE119" s="279"/>
      <c r="GF119" s="279"/>
      <c r="GG119" s="279"/>
      <c r="GH119" s="279"/>
      <c r="GI119" s="279"/>
      <c r="GJ119" s="279"/>
      <c r="GK119" s="279"/>
      <c r="GL119" s="279"/>
      <c r="GM119" s="279"/>
      <c r="GN119" s="279"/>
      <c r="GO119" s="279"/>
      <c r="GP119" s="279"/>
      <c r="GQ119" s="279"/>
      <c r="GR119" s="280"/>
      <c r="GS119" s="280"/>
      <c r="GT119" s="280"/>
      <c r="GU119" s="280"/>
      <c r="GV119" s="280"/>
    </row>
    <row r="120" spans="1:204" x14ac:dyDescent="0.25">
      <c r="A120" s="316"/>
      <c r="B120" s="317"/>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8"/>
      <c r="Z120" s="318"/>
      <c r="AA120" s="318"/>
      <c r="AB120" s="318"/>
      <c r="AC120" s="31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c r="EA120" s="279"/>
      <c r="EB120" s="279"/>
      <c r="EC120" s="279"/>
      <c r="ED120" s="279"/>
      <c r="EE120" s="279"/>
      <c r="EF120" s="279"/>
      <c r="EG120" s="279"/>
      <c r="EH120" s="279"/>
      <c r="EI120" s="279"/>
      <c r="EJ120" s="279"/>
      <c r="EK120" s="279"/>
      <c r="EL120" s="279"/>
      <c r="EM120" s="279"/>
      <c r="EN120" s="279"/>
      <c r="EO120" s="279"/>
      <c r="EP120" s="279"/>
      <c r="EQ120" s="279"/>
      <c r="ER120" s="279"/>
      <c r="ES120" s="279"/>
      <c r="ET120" s="279"/>
      <c r="EU120" s="279"/>
      <c r="EV120" s="279"/>
      <c r="EW120" s="279"/>
      <c r="EX120" s="279"/>
      <c r="EY120" s="279"/>
      <c r="EZ120" s="279"/>
      <c r="FA120" s="279"/>
      <c r="FB120" s="279"/>
      <c r="FC120" s="279"/>
      <c r="FD120" s="279"/>
      <c r="FE120" s="279"/>
      <c r="FF120" s="279"/>
      <c r="FG120" s="279"/>
      <c r="FH120" s="279"/>
      <c r="FI120" s="279"/>
      <c r="FJ120" s="279"/>
      <c r="FK120" s="279"/>
      <c r="FL120" s="279"/>
      <c r="FM120" s="279"/>
      <c r="FN120" s="279"/>
      <c r="FO120" s="279"/>
      <c r="FP120" s="279"/>
      <c r="FQ120" s="279"/>
      <c r="FR120" s="279"/>
      <c r="FS120" s="279"/>
      <c r="FT120" s="279"/>
      <c r="FU120" s="279"/>
      <c r="FV120" s="279"/>
      <c r="FW120" s="279"/>
      <c r="FX120" s="279"/>
      <c r="FY120" s="279"/>
      <c r="FZ120" s="279"/>
      <c r="GA120" s="279"/>
      <c r="GB120" s="279"/>
      <c r="GC120" s="279"/>
      <c r="GD120" s="279"/>
      <c r="GE120" s="279"/>
      <c r="GF120" s="279"/>
      <c r="GG120" s="279"/>
      <c r="GH120" s="279"/>
      <c r="GI120" s="279"/>
      <c r="GJ120" s="279"/>
      <c r="GK120" s="279"/>
      <c r="GL120" s="279"/>
      <c r="GM120" s="279"/>
      <c r="GN120" s="279"/>
      <c r="GO120" s="279"/>
      <c r="GP120" s="279"/>
      <c r="GQ120" s="279"/>
      <c r="GR120" s="280"/>
      <c r="GS120" s="280"/>
      <c r="GT120" s="280"/>
      <c r="GU120" s="280"/>
      <c r="GV120" s="280"/>
    </row>
    <row r="121" spans="1:204" x14ac:dyDescent="0.25">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c r="FF121" s="279"/>
      <c r="FG121" s="279"/>
      <c r="FH121" s="279"/>
      <c r="FI121" s="279"/>
      <c r="FJ121" s="279"/>
      <c r="FK121" s="279"/>
      <c r="FL121" s="279"/>
      <c r="FM121" s="279"/>
      <c r="FN121" s="279"/>
      <c r="FO121" s="279"/>
      <c r="FP121" s="279"/>
      <c r="FQ121" s="279"/>
      <c r="FR121" s="279"/>
      <c r="FS121" s="279"/>
      <c r="FT121" s="279"/>
      <c r="FU121" s="279"/>
      <c r="FV121" s="279"/>
      <c r="FW121" s="279"/>
      <c r="FX121" s="279"/>
      <c r="FY121" s="279"/>
      <c r="FZ121" s="279"/>
      <c r="GA121" s="279"/>
      <c r="GB121" s="279"/>
      <c r="GC121" s="279"/>
      <c r="GD121" s="279"/>
      <c r="GE121" s="279"/>
      <c r="GF121" s="279"/>
      <c r="GG121" s="279"/>
      <c r="GH121" s="279"/>
      <c r="GI121" s="279"/>
      <c r="GJ121" s="279"/>
      <c r="GK121" s="279"/>
      <c r="GL121" s="279"/>
      <c r="GM121" s="279"/>
      <c r="GN121" s="279"/>
      <c r="GO121" s="279"/>
      <c r="GP121" s="279"/>
      <c r="GQ121" s="279"/>
      <c r="GR121" s="279"/>
      <c r="GS121" s="279"/>
      <c r="GT121" s="279"/>
      <c r="GU121" s="279"/>
      <c r="GV121" s="279"/>
    </row>
    <row r="122" spans="1:204" x14ac:dyDescent="0.25">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c r="DF122" s="279"/>
      <c r="DG122" s="279"/>
      <c r="DH122" s="279"/>
      <c r="DI122" s="279"/>
      <c r="DJ122" s="279"/>
      <c r="DK122" s="279"/>
      <c r="DL122" s="279"/>
      <c r="DM122" s="279"/>
      <c r="DN122" s="279"/>
      <c r="DO122" s="279"/>
      <c r="DP122" s="279"/>
      <c r="DQ122" s="279"/>
      <c r="DR122" s="279"/>
      <c r="DS122" s="279"/>
      <c r="DT122" s="279"/>
      <c r="DU122" s="279"/>
      <c r="DV122" s="279"/>
      <c r="DW122" s="279"/>
      <c r="DX122" s="279"/>
      <c r="DY122" s="279"/>
      <c r="DZ122" s="279"/>
      <c r="EA122" s="279"/>
      <c r="EB122" s="279"/>
      <c r="EC122" s="279"/>
      <c r="ED122" s="279"/>
      <c r="EE122" s="279"/>
      <c r="EF122" s="279"/>
      <c r="EG122" s="279"/>
      <c r="EH122" s="279"/>
      <c r="EI122" s="279"/>
      <c r="EJ122" s="279"/>
      <c r="EK122" s="279"/>
      <c r="EL122" s="279"/>
      <c r="EM122" s="279"/>
      <c r="EN122" s="279"/>
      <c r="EO122" s="279"/>
      <c r="EP122" s="279"/>
      <c r="EQ122" s="279"/>
      <c r="ER122" s="279"/>
      <c r="ES122" s="279"/>
      <c r="ET122" s="279"/>
      <c r="EU122" s="279"/>
      <c r="EV122" s="279"/>
      <c r="EW122" s="279"/>
      <c r="EX122" s="279"/>
      <c r="EY122" s="279"/>
      <c r="EZ122" s="279"/>
      <c r="FA122" s="279"/>
      <c r="FB122" s="279"/>
      <c r="FC122" s="279"/>
      <c r="FD122" s="279"/>
      <c r="FE122" s="279"/>
      <c r="FF122" s="279"/>
      <c r="FG122" s="279"/>
      <c r="FH122" s="279"/>
      <c r="FI122" s="279"/>
      <c r="FJ122" s="279"/>
      <c r="FK122" s="279"/>
      <c r="FL122" s="279"/>
      <c r="FM122" s="279"/>
      <c r="FN122" s="279"/>
      <c r="FO122" s="279"/>
      <c r="FP122" s="279"/>
      <c r="FQ122" s="279"/>
      <c r="FR122" s="279"/>
      <c r="FS122" s="279"/>
      <c r="FT122" s="279"/>
      <c r="FU122" s="279"/>
      <c r="FV122" s="279"/>
      <c r="FW122" s="279"/>
      <c r="FX122" s="279"/>
      <c r="FY122" s="279"/>
      <c r="FZ122" s="279"/>
      <c r="GA122" s="279"/>
      <c r="GB122" s="279"/>
      <c r="GC122" s="279"/>
      <c r="GD122" s="279"/>
      <c r="GE122" s="279"/>
      <c r="GF122" s="279"/>
      <c r="GG122" s="279"/>
      <c r="GH122" s="279"/>
      <c r="GI122" s="279"/>
      <c r="GJ122" s="279"/>
      <c r="GK122" s="279"/>
      <c r="GL122" s="279"/>
      <c r="GM122" s="279"/>
      <c r="GN122" s="279"/>
      <c r="GO122" s="279"/>
      <c r="GP122" s="279"/>
      <c r="GQ122" s="279"/>
      <c r="GR122" s="279"/>
      <c r="GS122" s="279"/>
      <c r="GT122" s="279"/>
      <c r="GU122" s="279"/>
      <c r="GV122" s="279"/>
    </row>
    <row r="123" spans="1:204" x14ac:dyDescent="0.25">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79"/>
      <c r="DF123" s="279"/>
      <c r="DG123" s="279"/>
      <c r="DH123" s="279"/>
      <c r="DI123" s="279"/>
      <c r="DJ123" s="279"/>
      <c r="DK123" s="279"/>
      <c r="DL123" s="279"/>
      <c r="DM123" s="279"/>
      <c r="DN123" s="279"/>
      <c r="DO123" s="279"/>
      <c r="DP123" s="279"/>
      <c r="DQ123" s="279"/>
      <c r="DR123" s="279"/>
      <c r="DS123" s="279"/>
      <c r="DT123" s="279"/>
      <c r="DU123" s="279"/>
      <c r="DV123" s="279"/>
      <c r="DW123" s="279"/>
      <c r="DX123" s="279"/>
      <c r="DY123" s="279"/>
      <c r="DZ123" s="279"/>
      <c r="EA123" s="279"/>
      <c r="EB123" s="279"/>
      <c r="EC123" s="279"/>
      <c r="ED123" s="279"/>
      <c r="EE123" s="279"/>
      <c r="EF123" s="279"/>
      <c r="EG123" s="279"/>
      <c r="EH123" s="279"/>
      <c r="EI123" s="279"/>
      <c r="EJ123" s="279"/>
      <c r="EK123" s="279"/>
      <c r="EL123" s="279"/>
      <c r="EM123" s="279"/>
      <c r="EN123" s="279"/>
      <c r="EO123" s="279"/>
      <c r="EP123" s="279"/>
      <c r="EQ123" s="279"/>
      <c r="ER123" s="279"/>
      <c r="ES123" s="279"/>
      <c r="ET123" s="279"/>
      <c r="EU123" s="279"/>
      <c r="EV123" s="279"/>
      <c r="EW123" s="279"/>
      <c r="EX123" s="279"/>
      <c r="EY123" s="279"/>
      <c r="EZ123" s="279"/>
      <c r="FA123" s="279"/>
      <c r="FB123" s="279"/>
      <c r="FC123" s="279"/>
      <c r="FD123" s="279"/>
      <c r="FE123" s="279"/>
      <c r="FF123" s="279"/>
      <c r="FG123" s="279"/>
      <c r="FH123" s="279"/>
      <c r="FI123" s="279"/>
      <c r="FJ123" s="279"/>
      <c r="FK123" s="279"/>
      <c r="FL123" s="279"/>
      <c r="FM123" s="279"/>
      <c r="FN123" s="279"/>
      <c r="FO123" s="279"/>
      <c r="FP123" s="279"/>
      <c r="FQ123" s="279"/>
      <c r="FR123" s="279"/>
      <c r="FS123" s="279"/>
      <c r="FT123" s="279"/>
      <c r="FU123" s="279"/>
      <c r="FV123" s="279"/>
      <c r="FW123" s="279"/>
      <c r="FX123" s="279"/>
      <c r="FY123" s="279"/>
      <c r="FZ123" s="279"/>
      <c r="GA123" s="279"/>
      <c r="GB123" s="279"/>
      <c r="GC123" s="279"/>
      <c r="GD123" s="279"/>
      <c r="GE123" s="279"/>
      <c r="GF123" s="279"/>
      <c r="GG123" s="279"/>
      <c r="GH123" s="279"/>
      <c r="GI123" s="279"/>
      <c r="GJ123" s="279"/>
      <c r="GK123" s="279"/>
      <c r="GL123" s="279"/>
      <c r="GM123" s="279"/>
      <c r="GN123" s="279"/>
      <c r="GO123" s="279"/>
      <c r="GP123" s="279"/>
      <c r="GQ123" s="279"/>
      <c r="GR123" s="279"/>
      <c r="GS123" s="279"/>
      <c r="GT123" s="279"/>
      <c r="GU123" s="279"/>
      <c r="GV123" s="279"/>
    </row>
    <row r="124" spans="1:204" x14ac:dyDescent="0.25">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c r="CV124" s="279"/>
      <c r="CW124" s="279"/>
      <c r="CX124" s="279"/>
      <c r="CY124" s="279"/>
      <c r="CZ124" s="279"/>
      <c r="DA124" s="279"/>
      <c r="DB124" s="279"/>
      <c r="DC124" s="279"/>
      <c r="DD124" s="279"/>
      <c r="DE124" s="279"/>
      <c r="DF124" s="279"/>
      <c r="DG124" s="279"/>
      <c r="DH124" s="279"/>
      <c r="DI124" s="279"/>
      <c r="DJ124" s="279"/>
      <c r="DK124" s="279"/>
      <c r="DL124" s="279"/>
      <c r="DM124" s="279"/>
      <c r="DN124" s="279"/>
      <c r="DO124" s="279"/>
      <c r="DP124" s="279"/>
      <c r="DQ124" s="279"/>
      <c r="DR124" s="279"/>
      <c r="DS124" s="279"/>
      <c r="DT124" s="279"/>
      <c r="DU124" s="279"/>
      <c r="DV124" s="279"/>
      <c r="DW124" s="279"/>
      <c r="DX124" s="279"/>
      <c r="DY124" s="279"/>
      <c r="DZ124" s="279"/>
      <c r="EA124" s="279"/>
      <c r="EB124" s="279"/>
      <c r="EC124" s="279"/>
      <c r="ED124" s="279"/>
      <c r="EE124" s="279"/>
      <c r="EF124" s="279"/>
      <c r="EG124" s="279"/>
      <c r="EH124" s="279"/>
      <c r="EI124" s="279"/>
      <c r="EJ124" s="279"/>
      <c r="EK124" s="279"/>
      <c r="EL124" s="279"/>
      <c r="EM124" s="279"/>
      <c r="EN124" s="279"/>
      <c r="EO124" s="279"/>
      <c r="EP124" s="279"/>
      <c r="EQ124" s="279"/>
      <c r="ER124" s="279"/>
      <c r="ES124" s="279"/>
      <c r="ET124" s="279"/>
      <c r="EU124" s="279"/>
      <c r="EV124" s="279"/>
      <c r="EW124" s="279"/>
      <c r="EX124" s="279"/>
      <c r="EY124" s="279"/>
      <c r="EZ124" s="279"/>
      <c r="FA124" s="279"/>
      <c r="FB124" s="279"/>
      <c r="FC124" s="279"/>
      <c r="FD124" s="279"/>
      <c r="FE124" s="279"/>
      <c r="FF124" s="279"/>
      <c r="FG124" s="279"/>
      <c r="FH124" s="279"/>
      <c r="FI124" s="279"/>
      <c r="FJ124" s="279"/>
      <c r="FK124" s="279"/>
      <c r="FL124" s="279"/>
      <c r="FM124" s="279"/>
      <c r="FN124" s="279"/>
      <c r="FO124" s="279"/>
      <c r="FP124" s="279"/>
      <c r="FQ124" s="279"/>
      <c r="FR124" s="279"/>
      <c r="FS124" s="279"/>
      <c r="FT124" s="279"/>
      <c r="FU124" s="279"/>
      <c r="FV124" s="279"/>
      <c r="FW124" s="279"/>
      <c r="FX124" s="279"/>
      <c r="FY124" s="279"/>
      <c r="FZ124" s="279"/>
      <c r="GA124" s="279"/>
      <c r="GB124" s="279"/>
      <c r="GC124" s="279"/>
      <c r="GD124" s="279"/>
      <c r="GE124" s="279"/>
      <c r="GF124" s="279"/>
      <c r="GG124" s="279"/>
      <c r="GH124" s="279"/>
      <c r="GI124" s="279"/>
      <c r="GJ124" s="279"/>
      <c r="GK124" s="279"/>
      <c r="GL124" s="279"/>
      <c r="GM124" s="279"/>
      <c r="GN124" s="279"/>
      <c r="GO124" s="279"/>
      <c r="GP124" s="279"/>
      <c r="GQ124" s="279"/>
      <c r="GR124" s="279"/>
      <c r="GS124" s="279"/>
      <c r="GT124" s="279"/>
      <c r="GU124" s="279"/>
      <c r="GV124" s="279"/>
    </row>
    <row r="125" spans="1:204" x14ac:dyDescent="0.25">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c r="CV125" s="279"/>
      <c r="CW125" s="279"/>
      <c r="CX125" s="279"/>
      <c r="CY125" s="279"/>
      <c r="CZ125" s="279"/>
      <c r="DA125" s="279"/>
      <c r="DB125" s="279"/>
      <c r="DC125" s="279"/>
      <c r="DD125" s="279"/>
      <c r="DE125" s="279"/>
      <c r="DF125" s="279"/>
      <c r="DG125" s="279"/>
      <c r="DH125" s="279"/>
      <c r="DI125" s="279"/>
      <c r="DJ125" s="279"/>
      <c r="DK125" s="279"/>
      <c r="DL125" s="279"/>
      <c r="DM125" s="279"/>
      <c r="DN125" s="279"/>
      <c r="DO125" s="279"/>
      <c r="DP125" s="279"/>
      <c r="DQ125" s="279"/>
      <c r="DR125" s="279"/>
      <c r="DS125" s="279"/>
      <c r="DT125" s="279"/>
      <c r="DU125" s="279"/>
      <c r="DV125" s="279"/>
      <c r="DW125" s="279"/>
      <c r="DX125" s="279"/>
      <c r="DY125" s="279"/>
      <c r="DZ125" s="279"/>
      <c r="EA125" s="279"/>
      <c r="EB125" s="279"/>
      <c r="EC125" s="279"/>
      <c r="ED125" s="279"/>
      <c r="EE125" s="279"/>
      <c r="EF125" s="279"/>
      <c r="EG125" s="279"/>
      <c r="EH125" s="279"/>
      <c r="EI125" s="279"/>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c r="FF125" s="279"/>
      <c r="FG125" s="279"/>
      <c r="FH125" s="279"/>
      <c r="FI125" s="279"/>
      <c r="FJ125" s="279"/>
      <c r="FK125" s="279"/>
      <c r="FL125" s="279"/>
      <c r="FM125" s="279"/>
      <c r="FN125" s="279"/>
      <c r="FO125" s="279"/>
      <c r="FP125" s="279"/>
      <c r="FQ125" s="279"/>
      <c r="FR125" s="279"/>
      <c r="FS125" s="279"/>
      <c r="FT125" s="279"/>
      <c r="FU125" s="279"/>
      <c r="FV125" s="279"/>
      <c r="FW125" s="279"/>
      <c r="FX125" s="279"/>
      <c r="FY125" s="279"/>
      <c r="FZ125" s="279"/>
      <c r="GA125" s="279"/>
      <c r="GB125" s="279"/>
      <c r="GC125" s="279"/>
      <c r="GD125" s="279"/>
      <c r="GE125" s="279"/>
      <c r="GF125" s="279"/>
      <c r="GG125" s="279"/>
      <c r="GH125" s="279"/>
      <c r="GI125" s="279"/>
      <c r="GJ125" s="279"/>
      <c r="GK125" s="279"/>
      <c r="GL125" s="279"/>
      <c r="GM125" s="279"/>
      <c r="GN125" s="279"/>
      <c r="GO125" s="279"/>
      <c r="GP125" s="279"/>
      <c r="GQ125" s="279"/>
      <c r="GR125" s="279"/>
      <c r="GS125" s="279"/>
      <c r="GT125" s="279"/>
      <c r="GU125" s="279"/>
      <c r="GV125" s="279"/>
    </row>
    <row r="126" spans="1:204" x14ac:dyDescent="0.25">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c r="CV126" s="279"/>
      <c r="CW126" s="279"/>
      <c r="CX126" s="279"/>
      <c r="CY126" s="279"/>
      <c r="CZ126" s="279"/>
      <c r="DA126" s="279"/>
      <c r="DB126" s="279"/>
      <c r="DC126" s="279"/>
      <c r="DD126" s="279"/>
      <c r="DE126" s="279"/>
      <c r="DF126" s="279"/>
      <c r="DG126" s="279"/>
      <c r="DH126" s="279"/>
      <c r="DI126" s="279"/>
      <c r="DJ126" s="279"/>
      <c r="DK126" s="279"/>
      <c r="DL126" s="279"/>
      <c r="DM126" s="279"/>
      <c r="DN126" s="279"/>
      <c r="DO126" s="279"/>
      <c r="DP126" s="279"/>
      <c r="DQ126" s="279"/>
      <c r="DR126" s="279"/>
      <c r="DS126" s="279"/>
      <c r="DT126" s="279"/>
      <c r="DU126" s="279"/>
      <c r="DV126" s="279"/>
      <c r="DW126" s="279"/>
      <c r="DX126" s="279"/>
      <c r="DY126" s="279"/>
      <c r="DZ126" s="279"/>
      <c r="EA126" s="279"/>
      <c r="EB126" s="279"/>
      <c r="EC126" s="279"/>
      <c r="ED126" s="279"/>
      <c r="EE126" s="279"/>
      <c r="EF126" s="279"/>
      <c r="EG126" s="279"/>
      <c r="EH126" s="279"/>
      <c r="EI126" s="279"/>
      <c r="EJ126" s="279"/>
      <c r="EK126" s="279"/>
      <c r="EL126" s="279"/>
      <c r="EM126" s="279"/>
      <c r="EN126" s="279"/>
      <c r="EO126" s="279"/>
      <c r="EP126" s="279"/>
      <c r="EQ126" s="279"/>
      <c r="ER126" s="279"/>
      <c r="ES126" s="279"/>
      <c r="ET126" s="279"/>
      <c r="EU126" s="279"/>
      <c r="EV126" s="279"/>
      <c r="EW126" s="279"/>
      <c r="EX126" s="279"/>
      <c r="EY126" s="279"/>
      <c r="EZ126" s="279"/>
      <c r="FA126" s="279"/>
      <c r="FB126" s="279"/>
      <c r="FC126" s="279"/>
      <c r="FD126" s="279"/>
      <c r="FE126" s="279"/>
      <c r="FF126" s="279"/>
      <c r="FG126" s="279"/>
      <c r="FH126" s="279"/>
      <c r="FI126" s="279"/>
      <c r="FJ126" s="279"/>
      <c r="FK126" s="279"/>
      <c r="FL126" s="279"/>
      <c r="FM126" s="279"/>
      <c r="FN126" s="279"/>
      <c r="FO126" s="279"/>
      <c r="FP126" s="279"/>
      <c r="FQ126" s="279"/>
      <c r="FR126" s="279"/>
      <c r="FS126" s="279"/>
      <c r="FT126" s="279"/>
      <c r="FU126" s="279"/>
      <c r="FV126" s="279"/>
      <c r="FW126" s="279"/>
      <c r="FX126" s="279"/>
      <c r="FY126" s="279"/>
      <c r="FZ126" s="279"/>
      <c r="GA126" s="279"/>
      <c r="GB126" s="279"/>
      <c r="GC126" s="279"/>
      <c r="GD126" s="279"/>
      <c r="GE126" s="279"/>
      <c r="GF126" s="279"/>
      <c r="GG126" s="279"/>
      <c r="GH126" s="279"/>
      <c r="GI126" s="279"/>
      <c r="GJ126" s="279"/>
      <c r="GK126" s="279"/>
      <c r="GL126" s="279"/>
      <c r="GM126" s="279"/>
      <c r="GN126" s="279"/>
      <c r="GO126" s="279"/>
      <c r="GP126" s="279"/>
      <c r="GQ126" s="279"/>
      <c r="GR126" s="279"/>
      <c r="GS126" s="279"/>
      <c r="GT126" s="279"/>
      <c r="GU126" s="279"/>
      <c r="GV126" s="279"/>
    </row>
    <row r="127" spans="1:204" x14ac:dyDescent="0.25">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c r="DO127" s="279"/>
      <c r="DP127" s="279"/>
      <c r="DQ127" s="279"/>
      <c r="DR127" s="279"/>
      <c r="DS127" s="279"/>
      <c r="DT127" s="279"/>
      <c r="DU127" s="279"/>
      <c r="DV127" s="279"/>
      <c r="DW127" s="279"/>
      <c r="DX127" s="279"/>
      <c r="DY127" s="279"/>
      <c r="DZ127" s="279"/>
      <c r="EA127" s="279"/>
      <c r="EB127" s="279"/>
      <c r="EC127" s="279"/>
      <c r="ED127" s="279"/>
      <c r="EE127" s="279"/>
      <c r="EF127" s="279"/>
      <c r="EG127" s="279"/>
      <c r="EH127" s="279"/>
      <c r="EI127" s="279"/>
      <c r="EJ127" s="279"/>
      <c r="EK127" s="279"/>
      <c r="EL127" s="279"/>
      <c r="EM127" s="279"/>
      <c r="EN127" s="279"/>
      <c r="EO127" s="279"/>
      <c r="EP127" s="279"/>
      <c r="EQ127" s="279"/>
      <c r="ER127" s="279"/>
      <c r="ES127" s="279"/>
      <c r="ET127" s="279"/>
      <c r="EU127" s="279"/>
      <c r="EV127" s="279"/>
      <c r="EW127" s="279"/>
      <c r="EX127" s="279"/>
      <c r="EY127" s="279"/>
      <c r="EZ127" s="279"/>
      <c r="FA127" s="279"/>
      <c r="FB127" s="279"/>
      <c r="FC127" s="279"/>
      <c r="FD127" s="279"/>
      <c r="FE127" s="279"/>
      <c r="FF127" s="279"/>
      <c r="FG127" s="279"/>
      <c r="FH127" s="279"/>
      <c r="FI127" s="279"/>
      <c r="FJ127" s="279"/>
      <c r="FK127" s="279"/>
      <c r="FL127" s="279"/>
      <c r="FM127" s="279"/>
      <c r="FN127" s="279"/>
      <c r="FO127" s="279"/>
      <c r="FP127" s="279"/>
      <c r="FQ127" s="279"/>
      <c r="FR127" s="279"/>
      <c r="FS127" s="279"/>
      <c r="FT127" s="279"/>
      <c r="FU127" s="279"/>
      <c r="FV127" s="279"/>
      <c r="FW127" s="279"/>
      <c r="FX127" s="279"/>
      <c r="FY127" s="279"/>
      <c r="FZ127" s="279"/>
      <c r="GA127" s="279"/>
      <c r="GB127" s="279"/>
      <c r="GC127" s="279"/>
      <c r="GD127" s="279"/>
      <c r="GE127" s="279"/>
      <c r="GF127" s="279"/>
      <c r="GG127" s="279"/>
      <c r="GH127" s="279"/>
      <c r="GI127" s="279"/>
      <c r="GJ127" s="279"/>
      <c r="GK127" s="279"/>
      <c r="GL127" s="279"/>
      <c r="GM127" s="279"/>
      <c r="GN127" s="279"/>
      <c r="GO127" s="279"/>
      <c r="GP127" s="279"/>
      <c r="GQ127" s="279"/>
      <c r="GR127" s="279"/>
      <c r="GS127" s="279"/>
      <c r="GT127" s="279"/>
      <c r="GU127" s="279"/>
      <c r="GV127" s="279"/>
    </row>
  </sheetData>
  <protectedRanges>
    <protectedRange password="C3A2" sqref="V60" name="Reponses"/>
  </protectedRanges>
  <mergeCells count="81">
    <mergeCell ref="J110:X112"/>
    <mergeCell ref="F83:H85"/>
    <mergeCell ref="S93:X93"/>
    <mergeCell ref="W56:X58"/>
    <mergeCell ref="T75:V75"/>
    <mergeCell ref="F73:K75"/>
    <mergeCell ref="S109:X109"/>
    <mergeCell ref="B105:F105"/>
    <mergeCell ref="R82:X82"/>
    <mergeCell ref="R87:X87"/>
    <mergeCell ref="F60:H62"/>
    <mergeCell ref="S56:V56"/>
    <mergeCell ref="S58:V58"/>
    <mergeCell ref="D65:K65"/>
    <mergeCell ref="W60:W64"/>
    <mergeCell ref="L4:P4"/>
    <mergeCell ref="D21:L21"/>
    <mergeCell ref="D23:L23"/>
    <mergeCell ref="D7:L7"/>
    <mergeCell ref="D19:L19"/>
    <mergeCell ref="D11:L11"/>
    <mergeCell ref="D13:L13"/>
    <mergeCell ref="M7:O13"/>
    <mergeCell ref="V7:W13"/>
    <mergeCell ref="W19:AB21"/>
    <mergeCell ref="S19:V19"/>
    <mergeCell ref="S7:U7"/>
    <mergeCell ref="S9:U9"/>
    <mergeCell ref="S11:U11"/>
    <mergeCell ref="S13:U13"/>
    <mergeCell ref="B82:H82"/>
    <mergeCell ref="B89:F89"/>
    <mergeCell ref="K89:L89"/>
    <mergeCell ref="F47:K49"/>
    <mergeCell ref="B52:Q52"/>
    <mergeCell ref="D60:E60"/>
    <mergeCell ref="B50:Q51"/>
    <mergeCell ref="D36:N36"/>
    <mergeCell ref="D9:L9"/>
    <mergeCell ref="M19:O23"/>
    <mergeCell ref="D47:E47"/>
    <mergeCell ref="D75:E75"/>
    <mergeCell ref="D38:N38"/>
    <mergeCell ref="D40:N40"/>
    <mergeCell ref="D42:N42"/>
    <mergeCell ref="O36:Q43"/>
    <mergeCell ref="D25:M26"/>
    <mergeCell ref="K105:L105"/>
    <mergeCell ref="D99:E99"/>
    <mergeCell ref="B98:H98"/>
    <mergeCell ref="U105:W105"/>
    <mergeCell ref="M105:O107"/>
    <mergeCell ref="M99:O101"/>
    <mergeCell ref="K101:L101"/>
    <mergeCell ref="K99:L99"/>
    <mergeCell ref="R104:X104"/>
    <mergeCell ref="D101:E101"/>
    <mergeCell ref="U83:W83"/>
    <mergeCell ref="Y83:Z87"/>
    <mergeCell ref="Y99:Z103"/>
    <mergeCell ref="U89:W89"/>
    <mergeCell ref="R98:X98"/>
    <mergeCell ref="M89:O91"/>
    <mergeCell ref="M83:O85"/>
    <mergeCell ref="K91:L91"/>
    <mergeCell ref="B108:U108"/>
    <mergeCell ref="U1:X2"/>
    <mergeCell ref="B1:B2"/>
    <mergeCell ref="D1:T2"/>
    <mergeCell ref="K83:L83"/>
    <mergeCell ref="K85:L85"/>
    <mergeCell ref="D62:E62"/>
    <mergeCell ref="D73:E73"/>
    <mergeCell ref="D83:E83"/>
    <mergeCell ref="D85:E85"/>
    <mergeCell ref="D34:N34"/>
    <mergeCell ref="D49:E49"/>
    <mergeCell ref="K107:L107"/>
    <mergeCell ref="U99:W99"/>
    <mergeCell ref="B92:V92"/>
    <mergeCell ref="F99:H101"/>
  </mergeCells>
  <conditionalFormatting sqref="U4">
    <cfRule type="expression" dxfId="2" priority="3">
      <formula>$I$4&gt;=65</formula>
    </cfRule>
  </conditionalFormatting>
  <conditionalFormatting sqref="Q4">
    <cfRule type="expression" dxfId="1" priority="1">
      <formula>"$Q$4=""X"""</formula>
    </cfRule>
    <cfRule type="expression" dxfId="0" priority="2">
      <formula>$I$4&gt;=65</formula>
    </cfRule>
  </conditionalFormatting>
  <pageMargins left="0.7" right="0.7" top="0.75" bottom="0.75" header="0.3" footer="0.3"/>
  <pageSetup orientation="portrait" r:id="rId1"/>
  <ignoredErrors>
    <ignoredError sqref="V49 V60"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111"/>
  <sheetViews>
    <sheetView zoomScale="85" zoomScaleNormal="85" workbookViewId="0">
      <selection activeCell="L15" sqref="L15"/>
    </sheetView>
  </sheetViews>
  <sheetFormatPr baseColWidth="10" defaultColWidth="11.42578125" defaultRowHeight="15" x14ac:dyDescent="0.25"/>
  <cols>
    <col min="1" max="1" width="11.42578125" style="411"/>
    <col min="2" max="2" width="40.140625" style="411" customWidth="1"/>
    <col min="3" max="3" width="13.28515625" style="411" customWidth="1"/>
    <col min="4" max="4" width="11.42578125" style="411"/>
    <col min="5" max="5" width="33.7109375" style="411" customWidth="1"/>
    <col min="6" max="6" width="21.85546875" style="411" customWidth="1"/>
    <col min="7" max="12" width="11.42578125" style="411"/>
    <col min="13" max="13" width="14.7109375" style="411" customWidth="1"/>
    <col min="14" max="15" width="11.42578125" style="411"/>
    <col min="16" max="16" width="13.140625" style="411" customWidth="1"/>
    <col min="17" max="21" width="11.42578125" style="411"/>
    <col min="22" max="22" width="13.7109375" style="411" customWidth="1"/>
    <col min="23" max="23" width="13.42578125" style="411" bestFit="1" customWidth="1"/>
    <col min="24" max="16384" width="11.42578125" style="411"/>
  </cols>
  <sheetData>
    <row r="1" spans="1:18" x14ac:dyDescent="0.25">
      <c r="A1" s="592" t="s">
        <v>332</v>
      </c>
    </row>
    <row r="2" spans="1:18" ht="15.75" thickBot="1" x14ac:dyDescent="0.3">
      <c r="B2" s="278" t="s">
        <v>190</v>
      </c>
      <c r="C2" s="278" t="s">
        <v>191</v>
      </c>
      <c r="D2" s="278" t="s">
        <v>192</v>
      </c>
      <c r="E2" s="272"/>
      <c r="F2" s="278" t="s">
        <v>193</v>
      </c>
      <c r="G2" s="453" t="s">
        <v>194</v>
      </c>
      <c r="H2" s="454"/>
      <c r="I2" s="454"/>
      <c r="J2" s="455"/>
      <c r="L2" s="278" t="s">
        <v>195</v>
      </c>
      <c r="O2" s="411" t="s">
        <v>196</v>
      </c>
    </row>
    <row r="3" spans="1:18" ht="16.5" thickTop="1" thickBot="1" x14ac:dyDescent="0.3">
      <c r="B3" s="411" t="s">
        <v>197</v>
      </c>
      <c r="C3" s="411" t="s">
        <v>198</v>
      </c>
      <c r="D3" s="411" t="s">
        <v>199</v>
      </c>
      <c r="G3" s="456" t="s">
        <v>5</v>
      </c>
      <c r="H3" s="457" t="s">
        <v>6</v>
      </c>
      <c r="I3" s="457" t="s">
        <v>7</v>
      </c>
      <c r="J3" s="458"/>
      <c r="L3" s="431" t="s">
        <v>153</v>
      </c>
      <c r="P3" s="235" t="s">
        <v>27</v>
      </c>
      <c r="Q3" s="236" t="s">
        <v>28</v>
      </c>
    </row>
    <row r="4" spans="1:18" ht="15.75" thickTop="1" x14ac:dyDescent="0.25">
      <c r="B4" s="411" t="s">
        <v>200</v>
      </c>
      <c r="C4" s="411" t="s">
        <v>201</v>
      </c>
      <c r="D4" s="411" t="s">
        <v>202</v>
      </c>
      <c r="F4" s="274" t="s">
        <v>198</v>
      </c>
      <c r="G4" s="459">
        <f>Taux!G4</f>
        <v>48.83</v>
      </c>
      <c r="H4" s="460">
        <f>Taux!H4</f>
        <v>67.81</v>
      </c>
      <c r="I4" s="461">
        <f>Taux!I4</f>
        <v>82.05</v>
      </c>
      <c r="J4" s="458"/>
      <c r="L4" s="411" t="s">
        <v>203</v>
      </c>
      <c r="O4" s="274" t="s">
        <v>204</v>
      </c>
      <c r="P4" s="459">
        <f>Taux!P4</f>
        <v>11.22</v>
      </c>
      <c r="Q4" s="461">
        <f>Taux!Q4</f>
        <v>14.92</v>
      </c>
    </row>
    <row r="5" spans="1:18" ht="15.75" thickBot="1" x14ac:dyDescent="0.3">
      <c r="B5" s="411" t="s">
        <v>205</v>
      </c>
      <c r="C5" s="411" t="s">
        <v>206</v>
      </c>
      <c r="D5" s="411" t="s">
        <v>207</v>
      </c>
      <c r="F5" s="274" t="s">
        <v>201</v>
      </c>
      <c r="G5" s="149">
        <f>Taux!G5</f>
        <v>78.12</v>
      </c>
      <c r="H5" s="148">
        <f>Taux!H5</f>
        <v>108.5</v>
      </c>
      <c r="I5" s="150">
        <f>Taux!I5</f>
        <v>131.29</v>
      </c>
      <c r="J5" s="458"/>
      <c r="L5" s="411" t="s">
        <v>208</v>
      </c>
      <c r="O5" s="274" t="s">
        <v>209</v>
      </c>
      <c r="P5" s="149">
        <f>Taux!P5</f>
        <v>21.31</v>
      </c>
      <c r="Q5" s="150">
        <f>Taux!Q5</f>
        <v>28.34</v>
      </c>
    </row>
    <row r="6" spans="1:18" ht="16.5" thickTop="1" thickBot="1" x14ac:dyDescent="0.3">
      <c r="B6" s="411" t="s">
        <v>210</v>
      </c>
      <c r="C6" s="411" t="s">
        <v>211</v>
      </c>
      <c r="D6" s="539">
        <f>Calculator!I4</f>
        <v>60</v>
      </c>
      <c r="E6" s="411" t="s">
        <v>316</v>
      </c>
      <c r="F6" s="274" t="s">
        <v>206</v>
      </c>
      <c r="G6" s="149">
        <f>Taux!G6</f>
        <v>124.5</v>
      </c>
      <c r="H6" s="148">
        <f>Taux!H6</f>
        <v>172.92</v>
      </c>
      <c r="I6" s="150">
        <f>Taux!I6</f>
        <v>209.24</v>
      </c>
      <c r="J6" s="458"/>
      <c r="O6" s="274" t="s">
        <v>212</v>
      </c>
      <c r="P6" s="149">
        <f>Taux!P6</f>
        <v>29.61</v>
      </c>
      <c r="Q6" s="150">
        <f>Taux!Q6</f>
        <v>39.380000000000003</v>
      </c>
    </row>
    <row r="7" spans="1:18" ht="16.5" thickTop="1" thickBot="1" x14ac:dyDescent="0.3">
      <c r="F7" s="274" t="s">
        <v>211</v>
      </c>
      <c r="G7" s="151">
        <f>Taux!G7</f>
        <v>107.42</v>
      </c>
      <c r="H7" s="152">
        <f>Taux!H7</f>
        <v>149.19</v>
      </c>
      <c r="I7" s="153">
        <f>Taux!I7</f>
        <v>180.52</v>
      </c>
      <c r="J7" s="462"/>
      <c r="O7" s="274" t="s">
        <v>211</v>
      </c>
      <c r="P7" s="151">
        <f>Taux!P7</f>
        <v>24.68</v>
      </c>
      <c r="Q7" s="153">
        <f>Taux!Q7</f>
        <v>32.82</v>
      </c>
    </row>
    <row r="8" spans="1:18" ht="16.5" thickTop="1" thickBot="1" x14ac:dyDescent="0.3">
      <c r="B8" s="411" t="s">
        <v>213</v>
      </c>
      <c r="C8" s="411" t="s">
        <v>213</v>
      </c>
      <c r="D8" s="411" t="s">
        <v>213</v>
      </c>
      <c r="G8" s="463" t="s">
        <v>214</v>
      </c>
      <c r="H8" s="464"/>
      <c r="I8" s="464"/>
      <c r="J8" s="455"/>
      <c r="L8" s="411" t="s">
        <v>213</v>
      </c>
    </row>
    <row r="9" spans="1:18" ht="16.5" thickTop="1" thickBot="1" x14ac:dyDescent="0.3">
      <c r="B9" s="196" t="str">
        <f>IF(OR(Calculator!B7="X",Calculator!B7="x"),B3,IF(OR(Calculator!B9="X",Calculator!B9="x"),B4,IF(OR(Calculator!B11="X",Calculator!B11="x"),B5,B6)))</f>
        <v>I am covered under my spouse’s insurance</v>
      </c>
      <c r="C9" s="180" t="str">
        <f>IF(OR(Calculator!Q7="X",Calculator!Q7="x"),C3,IF(OR(Calculator!Q9="X",Calculator!Q9="x"),C4,IF(OR(Calculator!Q11="X",Calculator!Q11="x"),C5,IF(OR(Calculator!Q13="X",Calculator!Q13="x"),C6,""))))</f>
        <v/>
      </c>
      <c r="D9" s="538" t="str">
        <f>IF(D6&lt;65,D3,IF(AND(D6&gt;=65,OR(Calculator!Q4="x",Calculator!Q4="X")),D4,D5))</f>
        <v>Participant under age 65</v>
      </c>
      <c r="E9" s="171"/>
      <c r="G9" s="456" t="s">
        <v>5</v>
      </c>
      <c r="H9" s="457" t="s">
        <v>6</v>
      </c>
      <c r="I9" s="457" t="s">
        <v>7</v>
      </c>
      <c r="J9" s="458"/>
      <c r="L9" s="170" t="str">
        <f>IF(OR(Calculator!B19="X",Calculator!B19="x"),L3,IF(OR(Calculator!B21="X",Calculator!B21="x"),L4,IF(OR(Calculator!B23="X",Calculator!B23="x"),L5,"")))</f>
        <v/>
      </c>
      <c r="M9" s="230"/>
    </row>
    <row r="10" spans="1:18" ht="16.5" thickTop="1" thickBot="1" x14ac:dyDescent="0.3">
      <c r="F10" s="274" t="s">
        <v>198</v>
      </c>
      <c r="G10" s="459">
        <f>Taux!G10</f>
        <v>17.5</v>
      </c>
      <c r="H10" s="460">
        <f>Taux!H10</f>
        <v>25.73</v>
      </c>
      <c r="I10" s="461">
        <f>Taux!I10</f>
        <v>31.14</v>
      </c>
      <c r="J10" s="458"/>
      <c r="L10" s="411" t="s">
        <v>215</v>
      </c>
      <c r="O10" s="274" t="s">
        <v>216</v>
      </c>
    </row>
    <row r="11" spans="1:18" ht="16.5" thickTop="1" thickBot="1" x14ac:dyDescent="0.3">
      <c r="F11" s="274" t="s">
        <v>201</v>
      </c>
      <c r="G11" s="149">
        <f>Taux!G11</f>
        <v>35</v>
      </c>
      <c r="H11" s="148">
        <f>Taux!H11</f>
        <v>51.46</v>
      </c>
      <c r="I11" s="150">
        <f>Taux!I11</f>
        <v>62.27</v>
      </c>
      <c r="J11" s="458"/>
      <c r="L11" s="160" t="b">
        <v>1</v>
      </c>
      <c r="O11" s="197">
        <f>IF(OR(L9=L3,L12=TRUE),0,IF(L9=L4,IF(C9=C3,P4,IF(C9=C4,P5,IF(C9=C5,P6,P7))),IF(AND(L9=L5,L11=TRUE),IF(C9=C3,Q4,IF(C9=C4,Q5,IF(C9=C5,Q6,Q7))),0)))</f>
        <v>0</v>
      </c>
    </row>
    <row r="12" spans="1:18" ht="16.5" thickTop="1" thickBot="1" x14ac:dyDescent="0.3">
      <c r="D12" s="277"/>
      <c r="F12" s="274" t="s">
        <v>206</v>
      </c>
      <c r="G12" s="149">
        <f>Taux!G12</f>
        <v>52.49</v>
      </c>
      <c r="H12" s="148">
        <f>Taux!H12</f>
        <v>77.2</v>
      </c>
      <c r="I12" s="150">
        <f>Taux!I12</f>
        <v>93.41</v>
      </c>
      <c r="J12" s="458"/>
      <c r="L12" s="161" t="b">
        <v>0</v>
      </c>
    </row>
    <row r="13" spans="1:18" ht="16.5" thickTop="1" thickBot="1" x14ac:dyDescent="0.3">
      <c r="F13" s="274" t="s">
        <v>211</v>
      </c>
      <c r="G13" s="151">
        <f>Taux!G13</f>
        <v>38.5</v>
      </c>
      <c r="H13" s="152">
        <f>Taux!H13</f>
        <v>56.61</v>
      </c>
      <c r="I13" s="153">
        <f>Taux!I13</f>
        <v>68.5</v>
      </c>
      <c r="J13" s="462"/>
    </row>
    <row r="14" spans="1:18" ht="16.5" thickTop="1" thickBot="1" x14ac:dyDescent="0.3">
      <c r="G14" s="463" t="s">
        <v>217</v>
      </c>
      <c r="H14" s="464"/>
      <c r="I14" s="464"/>
      <c r="J14" s="455"/>
      <c r="L14" s="278" t="s">
        <v>218</v>
      </c>
      <c r="P14" s="411" t="s">
        <v>219</v>
      </c>
      <c r="R14" s="411" t="s">
        <v>220</v>
      </c>
    </row>
    <row r="15" spans="1:18" ht="16.5" thickTop="1" thickBot="1" x14ac:dyDescent="0.3">
      <c r="G15" s="456" t="s">
        <v>5</v>
      </c>
      <c r="H15" s="457" t="s">
        <v>6</v>
      </c>
      <c r="I15" s="457" t="s">
        <v>7</v>
      </c>
      <c r="J15" s="458"/>
      <c r="L15" s="411" t="s">
        <v>221</v>
      </c>
      <c r="N15" s="411" t="s">
        <v>71</v>
      </c>
      <c r="P15" s="411" t="s">
        <v>222</v>
      </c>
      <c r="Q15" s="160">
        <f>Taux!Q15</f>
        <v>2.8400000000000002E-2</v>
      </c>
      <c r="R15" s="411" t="s">
        <v>223</v>
      </c>
    </row>
    <row r="16" spans="1:18" ht="15.75" thickTop="1" x14ac:dyDescent="0.25">
      <c r="B16" s="187">
        <f>G10+G16</f>
        <v>140</v>
      </c>
      <c r="C16" s="188">
        <f t="shared" ref="C16:D16" si="0">H10+H16</f>
        <v>148.22999999999999</v>
      </c>
      <c r="D16" s="189">
        <f t="shared" si="0"/>
        <v>153.63999999999999</v>
      </c>
      <c r="F16" s="274" t="s">
        <v>198</v>
      </c>
      <c r="G16" s="465">
        <f>Taux!G16</f>
        <v>122.5</v>
      </c>
      <c r="H16" s="198">
        <f>Taux!H16</f>
        <v>122.5</v>
      </c>
      <c r="I16" s="199">
        <f>Taux!I16</f>
        <v>122.5</v>
      </c>
      <c r="J16" s="458"/>
      <c r="L16" s="411" t="s">
        <v>224</v>
      </c>
      <c r="N16" s="277" t="s">
        <v>122</v>
      </c>
      <c r="P16" s="411" t="s">
        <v>225</v>
      </c>
      <c r="Q16" s="466">
        <f>Taux!Q16</f>
        <v>0.83499999999999996</v>
      </c>
      <c r="R16" s="411" t="s">
        <v>226</v>
      </c>
    </row>
    <row r="17" spans="2:19" ht="15.75" thickBot="1" x14ac:dyDescent="0.3">
      <c r="B17" s="190">
        <f t="shared" ref="B17:D17" si="1">G11+G17</f>
        <v>157.5</v>
      </c>
      <c r="C17" s="191">
        <f t="shared" si="1"/>
        <v>173.96</v>
      </c>
      <c r="D17" s="192">
        <f t="shared" si="1"/>
        <v>184.77</v>
      </c>
      <c r="F17" s="274" t="s">
        <v>201</v>
      </c>
      <c r="G17" s="467">
        <f>Taux!G17</f>
        <v>122.5</v>
      </c>
      <c r="H17" s="468">
        <f>Taux!H17</f>
        <v>122.5</v>
      </c>
      <c r="I17" s="469">
        <f>Taux!I17</f>
        <v>122.5</v>
      </c>
      <c r="J17" s="458"/>
      <c r="L17" s="411" t="s">
        <v>213</v>
      </c>
      <c r="N17" s="411" t="s">
        <v>227</v>
      </c>
      <c r="P17" s="411" t="s">
        <v>228</v>
      </c>
      <c r="Q17" s="466">
        <f>1000*ROUNDDOWN(Calculator!V60/1000,0)+IF(VALUE(RIGHT(Calculator!V60,3))&lt;250,0,IF(VALUE(RIGHT(Calculator!V60,3))&lt;750,500,1000))</f>
        <v>92000</v>
      </c>
      <c r="R17" s="411" t="s">
        <v>229</v>
      </c>
    </row>
    <row r="18" spans="2:19" ht="16.5" thickTop="1" thickBot="1" x14ac:dyDescent="0.3">
      <c r="B18" s="190">
        <f t="shared" ref="B18:D18" si="2">G12+G18</f>
        <v>297.52</v>
      </c>
      <c r="C18" s="191">
        <f t="shared" si="2"/>
        <v>322.23</v>
      </c>
      <c r="D18" s="192">
        <f t="shared" si="2"/>
        <v>338.44</v>
      </c>
      <c r="F18" s="274" t="s">
        <v>206</v>
      </c>
      <c r="G18" s="467">
        <f>Taux!G18</f>
        <v>245.03</v>
      </c>
      <c r="H18" s="468">
        <f>Taux!H18</f>
        <v>245.03</v>
      </c>
      <c r="I18" s="469">
        <f>Taux!I18</f>
        <v>245.03</v>
      </c>
      <c r="J18" s="458"/>
      <c r="L18" s="180" t="str">
        <f>IF(OR(Calculator!B60="X",Calculator!B60="x"),L15,IF(OR(Calculator!B62="X",Calculator!B62="x"),L16,0))</f>
        <v>Yes</v>
      </c>
      <c r="N18" s="411" t="s">
        <v>169</v>
      </c>
      <c r="P18" s="411" t="s">
        <v>230</v>
      </c>
      <c r="Q18" s="161">
        <f>IF(L18=L15,IF(N21=N18,MAX(75000,Q17),IF(N21=N19,MAX(75000,2*Q17),IF(N21=N17,MAX(17500,0.5*Q17),IF(N21="10 000$",10000,)))),0)</f>
        <v>184000</v>
      </c>
      <c r="R18" s="411" t="s">
        <v>213</v>
      </c>
    </row>
    <row r="19" spans="2:19" ht="16.5" thickTop="1" thickBot="1" x14ac:dyDescent="0.3">
      <c r="B19" s="193">
        <f t="shared" ref="B19:D19" si="3">G13+G19</f>
        <v>283.52999999999997</v>
      </c>
      <c r="C19" s="194">
        <f t="shared" si="3"/>
        <v>301.64</v>
      </c>
      <c r="D19" s="195">
        <f t="shared" si="3"/>
        <v>313.52999999999997</v>
      </c>
      <c r="F19" s="274" t="s">
        <v>211</v>
      </c>
      <c r="G19" s="470">
        <f>Taux!G19</f>
        <v>245.03</v>
      </c>
      <c r="H19" s="471">
        <f>Taux!H19</f>
        <v>245.03</v>
      </c>
      <c r="I19" s="472">
        <f>Taux!I19</f>
        <v>245.03</v>
      </c>
      <c r="J19" s="462"/>
      <c r="L19" s="411" t="s">
        <v>231</v>
      </c>
      <c r="N19" s="411" t="s">
        <v>170</v>
      </c>
      <c r="P19" s="411" t="s">
        <v>232</v>
      </c>
      <c r="R19" s="170" t="str">
        <f>IF(D6&lt;65,R15,IF(D6&gt;=70,R17,R16))</f>
        <v>Under age 65</v>
      </c>
      <c r="S19" s="230"/>
    </row>
    <row r="20" spans="2:19" ht="16.5" thickTop="1" thickBot="1" x14ac:dyDescent="0.3">
      <c r="L20" s="180">
        <f>IF(L18=L15,Q15,0)</f>
        <v>2.8400000000000002E-2</v>
      </c>
      <c r="N20" s="411" t="s">
        <v>233</v>
      </c>
    </row>
    <row r="21" spans="2:19" ht="16.5" thickTop="1" thickBot="1" x14ac:dyDescent="0.3">
      <c r="F21" s="275" t="s">
        <v>234</v>
      </c>
      <c r="L21" s="411" t="s">
        <v>235</v>
      </c>
      <c r="M21" s="473">
        <f>IF(L18=L16,0,ROUND(Q15*Q18/1000,2)+ROUND(Q16*25000/1000,2))</f>
        <v>26.11</v>
      </c>
      <c r="N21" s="229" t="str">
        <f>IF(AND(ISBLANK(Calculator!Q56),ISBLANK(Calculator!Q58)),"",IF(OR(Calculator!Q56="X",Calculator!Q56="x"),Calculator!S56,Calculator!S58))</f>
        <v>Two times the annual salary</v>
      </c>
      <c r="O21" s="229"/>
      <c r="P21" s="230"/>
      <c r="Q21" s="411">
        <f>IF(L18=L15,IF(N21="Une fois le salaire annuel",MAX(35000,Q17),IF(N21="Deux fois le salaire annuel",MAX(70000,2*Q17),IF(N21="La moitié du salaire annuel",MAX(17500,0.5*Q17),IF(N21="10 000$",10000,)))),0)</f>
        <v>0</v>
      </c>
      <c r="R21" s="277"/>
    </row>
    <row r="22" spans="2:19" ht="16.5" thickTop="1" thickBot="1" x14ac:dyDescent="0.3">
      <c r="F22" s="197">
        <f>IF(B9=B3,IF(C9=C3,IF(D9=D3,G4,IF(D9=D4,G10,G10+G16)),IF(C9=C4,IF(D9=D3,G5,IF(D9=D4,G11,G11+G17)),IF(C9=C5,IF(D9=D3,G6,IF(D9=D4,G12,G12+G18)),IF(D9=D3,G7,IF(D9=D4,G13,G13+G19))))),IF(B9=B4,IF(C9=C3,IF(D9=D3,H4,IF(D9=D4,H10,H10+H16)),IF(C9=C4,IF(D9=D3,H5,IF(D9=D4,H11,H11+H17)),IF(C9=C5,IF(D9=D3,H6,IF(D9=D4,H12,H12+H18)),IF(D9=D3,H7,IF(D9=D4,H13,H13+H19))))),IF(B9=B5,IF(C9=C3,IF(D9=D3,I4,IF(D9=D4,I10,I10+I16)),IF(C9=C4,IF(D9=D3,I5,IF(D9=D4,I11,I11+I17)),IF(C9=C5,IF(D9=D3,I6,IF(D9=D4,I12,I12+I18)),IF(D9=D3,I7,IF(D9=D4,I13,I13+I19))))),0)))</f>
        <v>0</v>
      </c>
    </row>
    <row r="23" spans="2:19" ht="16.5" thickTop="1" thickBot="1" x14ac:dyDescent="0.3">
      <c r="F23" s="275" t="s">
        <v>236</v>
      </c>
    </row>
    <row r="24" spans="2:19" ht="16.5" thickTop="1" thickBot="1" x14ac:dyDescent="0.3">
      <c r="F24" s="200">
        <f>26*F22</f>
        <v>0</v>
      </c>
      <c r="L24" s="278" t="s">
        <v>237</v>
      </c>
      <c r="P24" s="411" t="s">
        <v>219</v>
      </c>
    </row>
    <row r="25" spans="2:19" ht="16.5" thickTop="1" thickBot="1" x14ac:dyDescent="0.3">
      <c r="L25" s="411" t="s">
        <v>221</v>
      </c>
      <c r="P25" s="180">
        <f>'Nouveau taux'!M7</f>
        <v>0.29499999999999998</v>
      </c>
    </row>
    <row r="26" spans="2:19" ht="16.5" thickTop="1" thickBot="1" x14ac:dyDescent="0.3">
      <c r="F26" s="411" t="s">
        <v>239</v>
      </c>
      <c r="G26" s="411" t="s">
        <v>240</v>
      </c>
      <c r="I26" s="278" t="s">
        <v>241</v>
      </c>
      <c r="L26" s="411" t="s">
        <v>224</v>
      </c>
    </row>
    <row r="27" spans="2:19" ht="16.5" thickTop="1" thickBot="1" x14ac:dyDescent="0.3">
      <c r="F27" s="170">
        <f>IF(OR(Calculator!B42="X",Calculator!B42="x"),Calculator!D42,IF(OR(Calculator!B34="X",Calculator!B34="x"),Calculator!D34,IF(OR(Calculator!B36="X",Calculator!B36="x"),Calculator!D36,IF(OR(Calculator!B38="X",Calculator!B38="x"),Calculator!D38,IF(OR(Calculator!B40="X",Calculator!B40="x"),Calculator!D40,0)))))</f>
        <v>0</v>
      </c>
      <c r="G27" s="230">
        <f>IF(Calculator!O36="",VLOOKUP(F27,Taux_courte_anglais,2,FALSE),0)</f>
        <v>0</v>
      </c>
      <c r="I27" s="411" t="s">
        <v>242</v>
      </c>
      <c r="K27" s="411" t="s">
        <v>243</v>
      </c>
      <c r="L27" s="411" t="s">
        <v>213</v>
      </c>
    </row>
    <row r="28" spans="2:19" ht="16.5" thickTop="1" thickBot="1" x14ac:dyDescent="0.3">
      <c r="I28" s="411" t="s">
        <v>221</v>
      </c>
      <c r="K28" s="170">
        <f>Taux!K28</f>
        <v>0.36799999999999999</v>
      </c>
      <c r="L28" s="230" t="str">
        <f>IF(OR(Calculator!B73="X",Calculator!B73="x"),L25,L26)</f>
        <v>Yes</v>
      </c>
    </row>
    <row r="29" spans="2:19" ht="16.5" thickTop="1" thickBot="1" x14ac:dyDescent="0.3">
      <c r="I29" s="411" t="s">
        <v>224</v>
      </c>
      <c r="L29" s="411" t="s">
        <v>216</v>
      </c>
    </row>
    <row r="30" spans="2:19" ht="16.5" thickTop="1" thickBot="1" x14ac:dyDescent="0.3">
      <c r="E30" s="428"/>
      <c r="I30" s="411" t="s">
        <v>213</v>
      </c>
      <c r="L30" s="180">
        <f>IF(AND(L28=L25,L18=L15),P25,0)</f>
        <v>0.29499999999999998</v>
      </c>
    </row>
    <row r="31" spans="2:19" ht="16.5" thickTop="1" thickBot="1" x14ac:dyDescent="0.3">
      <c r="B31" s="564" t="s">
        <v>238</v>
      </c>
      <c r="C31" s="565" t="s">
        <v>244</v>
      </c>
      <c r="E31" s="274"/>
      <c r="F31" s="516" t="s">
        <v>244</v>
      </c>
      <c r="I31" s="411">
        <f>IF(OR(Calculator!B47="X",Calculator!B47="x"),Calculator!D47,IF(OR(Calculator!B49="X",Calculator!B49="x"),Calculator!D49,0))</f>
        <v>0</v>
      </c>
    </row>
    <row r="32" spans="2:19" ht="16.5" thickTop="1" thickBot="1" x14ac:dyDescent="0.3">
      <c r="B32" s="557" t="s">
        <v>289</v>
      </c>
      <c r="C32" s="558">
        <f>C40</f>
        <v>0.27700000000000002</v>
      </c>
      <c r="E32" s="274" t="s">
        <v>136</v>
      </c>
      <c r="F32" s="609">
        <f>'Nouveau taux'!S5</f>
        <v>0.27700000000000002</v>
      </c>
      <c r="I32" s="411" t="s">
        <v>231</v>
      </c>
      <c r="L32" s="411" t="s">
        <v>245</v>
      </c>
    </row>
    <row r="33" spans="2:23" ht="16.5" thickTop="1" thickBot="1" x14ac:dyDescent="0.3">
      <c r="B33" s="559" t="s">
        <v>159</v>
      </c>
      <c r="C33" s="560">
        <f t="shared" ref="C33:C37" si="4">C41</f>
        <v>0.59799999999999998</v>
      </c>
      <c r="E33" s="274" t="s">
        <v>188</v>
      </c>
      <c r="F33" s="610">
        <f>'Nouveau taux'!S6</f>
        <v>0.59799999999999998</v>
      </c>
      <c r="I33" s="180">
        <f>IF(I31=I28,K28,0)</f>
        <v>0</v>
      </c>
      <c r="L33" s="431" t="s">
        <v>246</v>
      </c>
    </row>
    <row r="34" spans="2:23" ht="15.75" thickTop="1" x14ac:dyDescent="0.25">
      <c r="B34" s="561" t="s">
        <v>320</v>
      </c>
      <c r="C34" s="560">
        <f t="shared" si="4"/>
        <v>0.56499999999999995</v>
      </c>
      <c r="E34" s="274" t="s">
        <v>319</v>
      </c>
      <c r="F34" s="610">
        <f>'Nouveau taux'!S7</f>
        <v>0.56499999999999995</v>
      </c>
      <c r="L34" s="431" t="s">
        <v>318</v>
      </c>
    </row>
    <row r="35" spans="2:23" ht="15.75" thickBot="1" x14ac:dyDescent="0.3">
      <c r="B35" s="561" t="s">
        <v>334</v>
      </c>
      <c r="C35" s="560">
        <f t="shared" si="4"/>
        <v>0.112</v>
      </c>
      <c r="E35" s="275" t="s">
        <v>333</v>
      </c>
      <c r="F35" s="610">
        <f>'Nouveau taux'!S8</f>
        <v>0.112</v>
      </c>
      <c r="L35" s="278" t="s">
        <v>247</v>
      </c>
      <c r="P35" s="411" t="s">
        <v>248</v>
      </c>
      <c r="R35" s="272" t="s">
        <v>308</v>
      </c>
      <c r="V35" s="411" t="s">
        <v>249</v>
      </c>
    </row>
    <row r="36" spans="2:23" ht="15.75" thickTop="1" x14ac:dyDescent="0.25">
      <c r="B36" s="561" t="s">
        <v>326</v>
      </c>
      <c r="C36" s="560">
        <f t="shared" si="4"/>
        <v>0.46400000000000002</v>
      </c>
      <c r="E36" s="274" t="s">
        <v>325</v>
      </c>
      <c r="F36" s="611">
        <f>'Nouveau taux'!S9</f>
        <v>0.46400000000000002</v>
      </c>
      <c r="L36" s="278" t="s">
        <v>250</v>
      </c>
      <c r="N36" s="272" t="s">
        <v>251</v>
      </c>
      <c r="Q36" s="739" t="s">
        <v>252</v>
      </c>
      <c r="R36" s="740"/>
      <c r="S36" s="740" t="s">
        <v>253</v>
      </c>
      <c r="T36" s="741"/>
      <c r="V36" s="474">
        <v>0</v>
      </c>
      <c r="W36" s="475">
        <v>0</v>
      </c>
    </row>
    <row r="37" spans="2:23" ht="15.75" thickBot="1" x14ac:dyDescent="0.3">
      <c r="B37" s="562" t="s">
        <v>160</v>
      </c>
      <c r="C37" s="563">
        <f t="shared" si="4"/>
        <v>0</v>
      </c>
      <c r="E37" s="274" t="s">
        <v>31</v>
      </c>
      <c r="F37" s="612">
        <f>'Nouveau taux'!S10</f>
        <v>0</v>
      </c>
      <c r="L37" s="411" t="s">
        <v>221</v>
      </c>
      <c r="N37" s="411" t="s">
        <v>221</v>
      </c>
      <c r="P37" s="411" t="s">
        <v>254</v>
      </c>
      <c r="Q37" s="232" t="s">
        <v>255</v>
      </c>
      <c r="R37" s="233" t="s">
        <v>256</v>
      </c>
      <c r="S37" s="233" t="s">
        <v>255</v>
      </c>
      <c r="T37" s="234" t="s">
        <v>256</v>
      </c>
      <c r="V37" s="476">
        <v>20000</v>
      </c>
      <c r="W37" s="477">
        <v>25000</v>
      </c>
    </row>
    <row r="38" spans="2:23" ht="16.5" thickTop="1" thickBot="1" x14ac:dyDescent="0.3">
      <c r="L38" s="411" t="s">
        <v>224</v>
      </c>
      <c r="N38" s="411" t="s">
        <v>224</v>
      </c>
      <c r="P38" s="411" t="s">
        <v>257</v>
      </c>
      <c r="Q38" s="478">
        <f>Taux!Q38</f>
        <v>8.9999999999999993E-3</v>
      </c>
      <c r="R38" s="479">
        <f>Taux!R38</f>
        <v>1.2999999999999999E-2</v>
      </c>
      <c r="S38" s="479">
        <f>Taux!S38</f>
        <v>5.0000000000000001E-3</v>
      </c>
      <c r="T38" s="480">
        <f>Taux!T38</f>
        <v>6.0000000000000001E-3</v>
      </c>
      <c r="V38" s="481">
        <f>V37+20000</f>
        <v>40000</v>
      </c>
      <c r="W38" s="482">
        <f>W37+25000</f>
        <v>50000</v>
      </c>
    </row>
    <row r="39" spans="2:23" ht="16.5" thickTop="1" thickBot="1" x14ac:dyDescent="0.3">
      <c r="B39" s="606" t="s">
        <v>1</v>
      </c>
      <c r="C39" s="607" t="s">
        <v>83</v>
      </c>
      <c r="L39" s="411" t="s">
        <v>213</v>
      </c>
      <c r="N39" s="411" t="s">
        <v>213</v>
      </c>
      <c r="P39" s="411" t="s">
        <v>258</v>
      </c>
      <c r="Q39" s="467">
        <f>Taux!Q39</f>
        <v>8.9999999999999993E-3</v>
      </c>
      <c r="R39" s="468">
        <f>Taux!R39</f>
        <v>1.2999999999999999E-2</v>
      </c>
      <c r="S39" s="468">
        <f>Taux!S39</f>
        <v>5.0000000000000001E-3</v>
      </c>
      <c r="T39" s="469">
        <f>Taux!T39</f>
        <v>6.0000000000000001E-3</v>
      </c>
      <c r="V39" s="481">
        <f t="shared" ref="V39:V43" si="5">V38+20000</f>
        <v>60000</v>
      </c>
      <c r="W39" s="482">
        <f t="shared" ref="W39:W46" si="6">W38+25000</f>
        <v>75000</v>
      </c>
    </row>
    <row r="40" spans="2:23" ht="16.5" thickTop="1" thickBot="1" x14ac:dyDescent="0.3">
      <c r="B40" s="604" t="s">
        <v>136</v>
      </c>
      <c r="C40" s="605">
        <f>_xlfn.IFNA(VLOOKUP(B40,'Nouveau taux'!$R$5:$S$10,2,FALSE),"Ajuster tabnleau dans TAUX")</f>
        <v>0.27700000000000002</v>
      </c>
      <c r="L40" s="180" t="str">
        <f>IF(OR(Calculator!B83="X",Calculator!B83="x"),L37,L38)</f>
        <v>Yes</v>
      </c>
      <c r="N40" s="180" t="str">
        <f>IF(OR(Calculator!B99="X",Calculator!B99="x"),N37,N38)</f>
        <v>Yes</v>
      </c>
      <c r="P40" s="411" t="s">
        <v>259</v>
      </c>
      <c r="Q40" s="467">
        <f>Taux!Q40</f>
        <v>8.9999999999999993E-3</v>
      </c>
      <c r="R40" s="468">
        <f>Taux!R40</f>
        <v>1.2999999999999999E-2</v>
      </c>
      <c r="S40" s="468">
        <f>Taux!S40</f>
        <v>5.0000000000000001E-3</v>
      </c>
      <c r="T40" s="469">
        <f>Taux!T40</f>
        <v>6.0000000000000001E-3</v>
      </c>
      <c r="V40" s="481">
        <f t="shared" si="5"/>
        <v>80000</v>
      </c>
      <c r="W40" s="482">
        <f t="shared" si="6"/>
        <v>100000</v>
      </c>
    </row>
    <row r="41" spans="2:23" ht="15.75" thickTop="1" x14ac:dyDescent="0.25">
      <c r="B41" s="599" t="s">
        <v>188</v>
      </c>
      <c r="C41" s="600">
        <f>_xlfn.IFNA(VLOOKUP(B41,'Nouveau taux'!$R$5:$S$10,2,FALSE),"Ajuster tabnleau dans TAUX")</f>
        <v>0.59799999999999998</v>
      </c>
      <c r="P41" s="411" t="s">
        <v>260</v>
      </c>
      <c r="Q41" s="467">
        <f>Taux!Q41</f>
        <v>1.2E-2</v>
      </c>
      <c r="R41" s="468">
        <f>Taux!R41</f>
        <v>1.4999999999999999E-2</v>
      </c>
      <c r="S41" s="468">
        <f>Taux!S41</f>
        <v>6.0000000000000001E-3</v>
      </c>
      <c r="T41" s="469">
        <f>Taux!T41</f>
        <v>7.0000000000000001E-3</v>
      </c>
      <c r="V41" s="481">
        <f t="shared" si="5"/>
        <v>100000</v>
      </c>
      <c r="W41" s="482">
        <f t="shared" si="6"/>
        <v>125000</v>
      </c>
    </row>
    <row r="42" spans="2:23" x14ac:dyDescent="0.25">
      <c r="B42" s="601" t="s">
        <v>319</v>
      </c>
      <c r="C42" s="600">
        <f>_xlfn.IFNA(VLOOKUP(B42,'Nouveau taux'!$R$5:$S$10,2,FALSE),"Ajuster tabnleau dans TAUX")</f>
        <v>0.56499999999999995</v>
      </c>
      <c r="L42" s="276" t="s">
        <v>261</v>
      </c>
      <c r="N42" s="276" t="s">
        <v>261</v>
      </c>
      <c r="P42" s="411" t="s">
        <v>262</v>
      </c>
      <c r="Q42" s="467">
        <f>Taux!Q42</f>
        <v>1.7000000000000001E-2</v>
      </c>
      <c r="R42" s="468">
        <f>Taux!R42</f>
        <v>2.5000000000000001E-2</v>
      </c>
      <c r="S42" s="468">
        <f>Taux!S42</f>
        <v>8.9999999999999993E-3</v>
      </c>
      <c r="T42" s="469">
        <f>Taux!T42</f>
        <v>1.2999999999999999E-2</v>
      </c>
      <c r="V42" s="481">
        <f t="shared" si="5"/>
        <v>120000</v>
      </c>
      <c r="W42" s="482">
        <f t="shared" si="6"/>
        <v>150000</v>
      </c>
    </row>
    <row r="43" spans="2:23" ht="15.75" thickBot="1" x14ac:dyDescent="0.3">
      <c r="B43" s="601" t="s">
        <v>333</v>
      </c>
      <c r="C43" s="600">
        <f>_xlfn.IFNA(VLOOKUP(B43,'Nouveau taux'!$R$5:$S$10,2,FALSE),"Ajuster tabnleau dans TAUX")</f>
        <v>0.112</v>
      </c>
      <c r="L43" s="411" t="s">
        <v>252</v>
      </c>
      <c r="N43" s="411" t="s">
        <v>252</v>
      </c>
      <c r="P43" s="411" t="s">
        <v>263</v>
      </c>
      <c r="Q43" s="467">
        <f>Taux!Q43</f>
        <v>2.8000000000000001E-2</v>
      </c>
      <c r="R43" s="468">
        <f>Taux!R43</f>
        <v>0.04</v>
      </c>
      <c r="S43" s="468">
        <f>Taux!S43</f>
        <v>1.2999999999999999E-2</v>
      </c>
      <c r="T43" s="469">
        <f>Taux!T43</f>
        <v>1.9E-2</v>
      </c>
      <c r="V43" s="483">
        <f t="shared" si="5"/>
        <v>140000</v>
      </c>
      <c r="W43" s="482">
        <f t="shared" si="6"/>
        <v>175000</v>
      </c>
    </row>
    <row r="44" spans="2:23" ht="15.75" thickTop="1" x14ac:dyDescent="0.25">
      <c r="B44" s="601" t="s">
        <v>325</v>
      </c>
      <c r="C44" s="600">
        <f>_xlfn.IFNA(VLOOKUP(B44,'Nouveau taux'!$R$5:$S$10,2,FALSE),"Ajuster tabnleau dans TAUX")</f>
        <v>0.46400000000000002</v>
      </c>
      <c r="L44" s="411" t="s">
        <v>253</v>
      </c>
      <c r="N44" s="411" t="s">
        <v>253</v>
      </c>
      <c r="P44" s="411" t="s">
        <v>264</v>
      </c>
      <c r="Q44" s="467">
        <f>Taux!Q44</f>
        <v>4.2000000000000003E-2</v>
      </c>
      <c r="R44" s="468">
        <f>Taux!R44</f>
        <v>6.3E-2</v>
      </c>
      <c r="S44" s="468">
        <f>Taux!S44</f>
        <v>2.4E-2</v>
      </c>
      <c r="T44" s="469">
        <f>Taux!T44</f>
        <v>2.9000000000000001E-2</v>
      </c>
      <c r="V44" s="411" t="s">
        <v>265</v>
      </c>
      <c r="W44" s="215">
        <f t="shared" si="6"/>
        <v>200000</v>
      </c>
    </row>
    <row r="45" spans="2:23" ht="15.75" thickBot="1" x14ac:dyDescent="0.3">
      <c r="B45" s="602" t="s">
        <v>31</v>
      </c>
      <c r="C45" s="603">
        <f>'Nouveau taux'!S39</f>
        <v>0</v>
      </c>
      <c r="L45" s="411" t="s">
        <v>213</v>
      </c>
      <c r="N45" s="431" t="s">
        <v>288</v>
      </c>
      <c r="P45" s="411" t="s">
        <v>266</v>
      </c>
      <c r="Q45" s="467">
        <f>Taux!Q45</f>
        <v>6.7000000000000004E-2</v>
      </c>
      <c r="R45" s="468">
        <f>Taux!R45</f>
        <v>0.104</v>
      </c>
      <c r="S45" s="468">
        <f>Taux!S45</f>
        <v>3.5999999999999997E-2</v>
      </c>
      <c r="T45" s="469">
        <f>Taux!T45</f>
        <v>5.7000000000000002E-2</v>
      </c>
      <c r="V45" s="273">
        <f>Calculator!X83</f>
        <v>0</v>
      </c>
      <c r="W45" s="215">
        <f t="shared" si="6"/>
        <v>225000</v>
      </c>
    </row>
    <row r="46" spans="2:23" ht="16.5" thickTop="1" thickBot="1" x14ac:dyDescent="0.3">
      <c r="B46" s="608" t="s">
        <v>335</v>
      </c>
      <c r="L46" s="180" t="str">
        <f>IF(OR(Calculator!I85="X",Calculator!I85="x"),L44,L43)</f>
        <v>Female</v>
      </c>
      <c r="N46" s="180" t="str">
        <f>IF(OR(Calculator!I99="X",Calculator!I99="x"),N43,N44)</f>
        <v>Female</v>
      </c>
      <c r="P46" s="411" t="s">
        <v>267</v>
      </c>
      <c r="Q46" s="467">
        <f>Taux!Q46</f>
        <v>0.113</v>
      </c>
      <c r="R46" s="468">
        <f>Taux!R46</f>
        <v>0.16400000000000001</v>
      </c>
      <c r="S46" s="468">
        <f>Taux!S46</f>
        <v>5.6000000000000001E-2</v>
      </c>
      <c r="T46" s="469">
        <f>Taux!T46</f>
        <v>8.4000000000000005E-2</v>
      </c>
      <c r="V46" s="411" t="s">
        <v>268</v>
      </c>
      <c r="W46" s="216">
        <f t="shared" si="6"/>
        <v>250000</v>
      </c>
    </row>
    <row r="47" spans="2:23" ht="16.5" thickTop="1" thickBot="1" x14ac:dyDescent="0.3">
      <c r="P47" s="411" t="s">
        <v>269</v>
      </c>
      <c r="Q47" s="470">
        <f>Taux!Q47</f>
        <v>0.156</v>
      </c>
      <c r="R47" s="471">
        <f>Taux!R47</f>
        <v>0.255</v>
      </c>
      <c r="S47" s="471">
        <f>Taux!S47</f>
        <v>8.7999999999999995E-2</v>
      </c>
      <c r="T47" s="472">
        <f>Taux!T47</f>
        <v>0.13100000000000001</v>
      </c>
      <c r="V47" s="273">
        <f>Calculator!X99</f>
        <v>0</v>
      </c>
      <c r="W47" s="411" t="s">
        <v>265</v>
      </c>
    </row>
    <row r="48" spans="2:23" ht="16.5" thickTop="1" thickBot="1" x14ac:dyDescent="0.3">
      <c r="L48" s="411" t="s">
        <v>270</v>
      </c>
      <c r="N48" s="411" t="s">
        <v>270</v>
      </c>
      <c r="P48" s="411" t="s">
        <v>271</v>
      </c>
      <c r="W48" s="197">
        <f>Calculator!X89</f>
        <v>125000</v>
      </c>
    </row>
    <row r="49" spans="12:23" ht="16.5" thickTop="1" thickBot="1" x14ac:dyDescent="0.3">
      <c r="L49" s="411" t="s">
        <v>180</v>
      </c>
      <c r="N49" s="411" t="s">
        <v>180</v>
      </c>
      <c r="P49" s="180" t="str">
        <f>VLOOKUP(Calculator!B91,$O$59:$P$110,2,FALSE)</f>
        <v>60 to 64</v>
      </c>
      <c r="R49" s="411" t="s">
        <v>273</v>
      </c>
      <c r="W49" s="411" t="s">
        <v>268</v>
      </c>
    </row>
    <row r="50" spans="12:23" ht="16.5" thickTop="1" thickBot="1" x14ac:dyDescent="0.3">
      <c r="L50" s="411" t="s">
        <v>182</v>
      </c>
      <c r="N50" s="411" t="s">
        <v>182</v>
      </c>
      <c r="P50" s="411" t="s">
        <v>274</v>
      </c>
      <c r="R50" s="180">
        <f>IF(ISERROR(P49),0,IF(AND(L40=L37,L18=L15,IF(R19=R15,N21=N19,IF(R19=R16,N21=N18,FALSE))),VLOOKUP(P49,P38:T47,M54,FALSE),0))</f>
        <v>8.4000000000000005E-2</v>
      </c>
      <c r="W50" s="197">
        <f>Calculator!X105</f>
        <v>125000</v>
      </c>
    </row>
    <row r="51" spans="12:23" ht="16.5" thickTop="1" thickBot="1" x14ac:dyDescent="0.3">
      <c r="L51" s="411" t="s">
        <v>180</v>
      </c>
      <c r="N51" s="411" t="s">
        <v>180</v>
      </c>
      <c r="P51" s="180" t="str">
        <f>VLOOKUP(Calculator!B107,$O$59:$P$110,2,FALSE)</f>
        <v>55 to 59</v>
      </c>
      <c r="R51" s="411" t="s">
        <v>275</v>
      </c>
    </row>
    <row r="52" spans="12:23" ht="16.5" thickTop="1" thickBot="1" x14ac:dyDescent="0.3">
      <c r="L52" s="411" t="s">
        <v>182</v>
      </c>
      <c r="N52" s="411" t="s">
        <v>182</v>
      </c>
      <c r="R52" s="180">
        <f>IF(ISERROR(P51),0,IF(AND(N40=N37,L28=L25,L18=L15),VLOOKUP(P51,P38:T47,O54,FALSE),0))</f>
        <v>5.7000000000000002E-2</v>
      </c>
    </row>
    <row r="53" spans="12:23" ht="16.5" thickTop="1" thickBot="1" x14ac:dyDescent="0.3">
      <c r="L53" s="411" t="s">
        <v>213</v>
      </c>
      <c r="N53" s="411" t="s">
        <v>213</v>
      </c>
    </row>
    <row r="54" spans="12:23" ht="16.5" thickTop="1" thickBot="1" x14ac:dyDescent="0.3">
      <c r="L54" s="484" t="str">
        <f>IF(OR(Calculator!I89="X",Calculator!I89="x"),Calculator!K89,Calculator!K91)</f>
        <v>Smoker</v>
      </c>
      <c r="M54" s="485">
        <f>IF(AND(L46=L43,OR(L54=L49,L54=L51)),2,IF(AND(L46=L43,OR(L54=L50,L54=L52)),3,IF(AND(L46=L44,OR(L54=L49,L54=L51)),4,5)))</f>
        <v>5</v>
      </c>
      <c r="N54" s="485" t="str">
        <f>IF(OR(Calculator!I105="X",Calculator!I105="x"),Calculator!K105,Calculator!K107)</f>
        <v>Smoker</v>
      </c>
      <c r="O54" s="486">
        <f>IF(AND(N46=N43,OR(N54=N49,N54=N51)),2,IF(AND(N46=N43,OR(N54=N50,N54=N52)),3,IF(AND(N46=N44,OR(N54=N49,N54=N51)),4,5)))</f>
        <v>5</v>
      </c>
      <c r="R54" s="277"/>
    </row>
    <row r="55" spans="12:23" ht="15.75" thickTop="1" x14ac:dyDescent="0.25">
      <c r="R55" s="277"/>
    </row>
    <row r="56" spans="12:23" x14ac:dyDescent="0.25">
      <c r="L56" s="411" t="s">
        <v>276</v>
      </c>
    </row>
    <row r="57" spans="12:23" x14ac:dyDescent="0.25">
      <c r="L57" s="411" t="s">
        <v>277</v>
      </c>
    </row>
    <row r="58" spans="12:23" ht="15.75" thickBot="1" x14ac:dyDescent="0.3"/>
    <row r="59" spans="12:23" ht="15.75" thickTop="1" x14ac:dyDescent="0.25">
      <c r="O59" s="237">
        <v>18</v>
      </c>
      <c r="P59" s="239" t="s">
        <v>278</v>
      </c>
    </row>
    <row r="60" spans="12:23" x14ac:dyDescent="0.25">
      <c r="O60" s="487">
        <v>19</v>
      </c>
      <c r="P60" s="488" t="s">
        <v>278</v>
      </c>
    </row>
    <row r="61" spans="12:23" x14ac:dyDescent="0.25">
      <c r="O61" s="487">
        <v>20</v>
      </c>
      <c r="P61" s="488" t="s">
        <v>278</v>
      </c>
    </row>
    <row r="62" spans="12:23" x14ac:dyDescent="0.25">
      <c r="O62" s="487">
        <v>21</v>
      </c>
      <c r="P62" s="488" t="s">
        <v>278</v>
      </c>
    </row>
    <row r="63" spans="12:23" x14ac:dyDescent="0.25">
      <c r="O63" s="487">
        <v>22</v>
      </c>
      <c r="P63" s="488" t="s">
        <v>278</v>
      </c>
    </row>
    <row r="64" spans="12:23" x14ac:dyDescent="0.25">
      <c r="O64" s="487">
        <v>23</v>
      </c>
      <c r="P64" s="488" t="s">
        <v>278</v>
      </c>
    </row>
    <row r="65" spans="15:16" x14ac:dyDescent="0.25">
      <c r="O65" s="487">
        <v>24</v>
      </c>
      <c r="P65" s="488" t="s">
        <v>278</v>
      </c>
    </row>
    <row r="66" spans="15:16" x14ac:dyDescent="0.25">
      <c r="O66" s="487">
        <v>25</v>
      </c>
      <c r="P66" s="488" t="s">
        <v>279</v>
      </c>
    </row>
    <row r="67" spans="15:16" x14ac:dyDescent="0.25">
      <c r="O67" s="487">
        <v>26</v>
      </c>
      <c r="P67" s="488" t="s">
        <v>279</v>
      </c>
    </row>
    <row r="68" spans="15:16" x14ac:dyDescent="0.25">
      <c r="O68" s="487">
        <v>27</v>
      </c>
      <c r="P68" s="488" t="s">
        <v>279</v>
      </c>
    </row>
    <row r="69" spans="15:16" x14ac:dyDescent="0.25">
      <c r="O69" s="487">
        <v>28</v>
      </c>
      <c r="P69" s="488" t="s">
        <v>279</v>
      </c>
    </row>
    <row r="70" spans="15:16" x14ac:dyDescent="0.25">
      <c r="O70" s="487">
        <v>29</v>
      </c>
      <c r="P70" s="488" t="s">
        <v>279</v>
      </c>
    </row>
    <row r="71" spans="15:16" x14ac:dyDescent="0.25">
      <c r="O71" s="487">
        <v>30</v>
      </c>
      <c r="P71" s="488" t="s">
        <v>280</v>
      </c>
    </row>
    <row r="72" spans="15:16" x14ac:dyDescent="0.25">
      <c r="O72" s="487">
        <v>31</v>
      </c>
      <c r="P72" s="488" t="s">
        <v>280</v>
      </c>
    </row>
    <row r="73" spans="15:16" x14ac:dyDescent="0.25">
      <c r="O73" s="487">
        <v>32</v>
      </c>
      <c r="P73" s="488" t="s">
        <v>280</v>
      </c>
    </row>
    <row r="74" spans="15:16" x14ac:dyDescent="0.25">
      <c r="O74" s="487">
        <v>33</v>
      </c>
      <c r="P74" s="488" t="s">
        <v>280</v>
      </c>
    </row>
    <row r="75" spans="15:16" x14ac:dyDescent="0.25">
      <c r="O75" s="487">
        <v>34</v>
      </c>
      <c r="P75" s="488" t="s">
        <v>280</v>
      </c>
    </row>
    <row r="76" spans="15:16" x14ac:dyDescent="0.25">
      <c r="O76" s="487">
        <v>35</v>
      </c>
      <c r="P76" s="488" t="s">
        <v>281</v>
      </c>
    </row>
    <row r="77" spans="15:16" x14ac:dyDescent="0.25">
      <c r="O77" s="487">
        <v>36</v>
      </c>
      <c r="P77" s="488" t="s">
        <v>281</v>
      </c>
    </row>
    <row r="78" spans="15:16" x14ac:dyDescent="0.25">
      <c r="O78" s="487">
        <v>37</v>
      </c>
      <c r="P78" s="488" t="s">
        <v>281</v>
      </c>
    </row>
    <row r="79" spans="15:16" x14ac:dyDescent="0.25">
      <c r="O79" s="487">
        <v>38</v>
      </c>
      <c r="P79" s="488" t="s">
        <v>281</v>
      </c>
    </row>
    <row r="80" spans="15:16" x14ac:dyDescent="0.25">
      <c r="O80" s="487">
        <v>39</v>
      </c>
      <c r="P80" s="488" t="s">
        <v>281</v>
      </c>
    </row>
    <row r="81" spans="15:16" x14ac:dyDescent="0.25">
      <c r="O81" s="487">
        <v>40</v>
      </c>
      <c r="P81" s="488" t="s">
        <v>282</v>
      </c>
    </row>
    <row r="82" spans="15:16" x14ac:dyDescent="0.25">
      <c r="O82" s="487">
        <v>41</v>
      </c>
      <c r="P82" s="488" t="s">
        <v>282</v>
      </c>
    </row>
    <row r="83" spans="15:16" x14ac:dyDescent="0.25">
      <c r="O83" s="487">
        <v>42</v>
      </c>
      <c r="P83" s="488" t="s">
        <v>282</v>
      </c>
    </row>
    <row r="84" spans="15:16" x14ac:dyDescent="0.25">
      <c r="O84" s="487">
        <v>43</v>
      </c>
      <c r="P84" s="488" t="s">
        <v>282</v>
      </c>
    </row>
    <row r="85" spans="15:16" x14ac:dyDescent="0.25">
      <c r="O85" s="487">
        <v>44</v>
      </c>
      <c r="P85" s="488" t="s">
        <v>282</v>
      </c>
    </row>
    <row r="86" spans="15:16" x14ac:dyDescent="0.25">
      <c r="O86" s="487">
        <v>45</v>
      </c>
      <c r="P86" s="488" t="s">
        <v>272</v>
      </c>
    </row>
    <row r="87" spans="15:16" x14ac:dyDescent="0.25">
      <c r="O87" s="487">
        <v>46</v>
      </c>
      <c r="P87" s="488" t="s">
        <v>272</v>
      </c>
    </row>
    <row r="88" spans="15:16" x14ac:dyDescent="0.25">
      <c r="O88" s="487">
        <v>47</v>
      </c>
      <c r="P88" s="488" t="s">
        <v>272</v>
      </c>
    </row>
    <row r="89" spans="15:16" x14ac:dyDescent="0.25">
      <c r="O89" s="487">
        <v>48</v>
      </c>
      <c r="P89" s="488" t="s">
        <v>272</v>
      </c>
    </row>
    <row r="90" spans="15:16" x14ac:dyDescent="0.25">
      <c r="O90" s="487">
        <v>49</v>
      </c>
      <c r="P90" s="488" t="s">
        <v>272</v>
      </c>
    </row>
    <row r="91" spans="15:16" x14ac:dyDescent="0.25">
      <c r="O91" s="487">
        <v>50</v>
      </c>
      <c r="P91" s="488" t="s">
        <v>283</v>
      </c>
    </row>
    <row r="92" spans="15:16" x14ac:dyDescent="0.25">
      <c r="O92" s="487">
        <v>51</v>
      </c>
      <c r="P92" s="488" t="s">
        <v>283</v>
      </c>
    </row>
    <row r="93" spans="15:16" x14ac:dyDescent="0.25">
      <c r="O93" s="487">
        <v>52</v>
      </c>
      <c r="P93" s="488" t="s">
        <v>283</v>
      </c>
    </row>
    <row r="94" spans="15:16" x14ac:dyDescent="0.25">
      <c r="O94" s="487">
        <v>53</v>
      </c>
      <c r="P94" s="488" t="s">
        <v>283</v>
      </c>
    </row>
    <row r="95" spans="15:16" x14ac:dyDescent="0.25">
      <c r="O95" s="487">
        <v>54</v>
      </c>
      <c r="P95" s="488" t="s">
        <v>283</v>
      </c>
    </row>
    <row r="96" spans="15:16" x14ac:dyDescent="0.25">
      <c r="O96" s="487">
        <v>55</v>
      </c>
      <c r="P96" s="488" t="s">
        <v>284</v>
      </c>
    </row>
    <row r="97" spans="15:16" x14ac:dyDescent="0.25">
      <c r="O97" s="487">
        <v>56</v>
      </c>
      <c r="P97" s="488" t="s">
        <v>284</v>
      </c>
    </row>
    <row r="98" spans="15:16" x14ac:dyDescent="0.25">
      <c r="O98" s="487">
        <v>57</v>
      </c>
      <c r="P98" s="488" t="s">
        <v>284</v>
      </c>
    </row>
    <row r="99" spans="15:16" x14ac:dyDescent="0.25">
      <c r="O99" s="487">
        <v>58</v>
      </c>
      <c r="P99" s="488" t="s">
        <v>284</v>
      </c>
    </row>
    <row r="100" spans="15:16" x14ac:dyDescent="0.25">
      <c r="O100" s="487">
        <v>59</v>
      </c>
      <c r="P100" s="488" t="s">
        <v>284</v>
      </c>
    </row>
    <row r="101" spans="15:16" x14ac:dyDescent="0.25">
      <c r="O101" s="487">
        <v>60</v>
      </c>
      <c r="P101" s="488" t="s">
        <v>285</v>
      </c>
    </row>
    <row r="102" spans="15:16" x14ac:dyDescent="0.25">
      <c r="O102" s="487">
        <v>61</v>
      </c>
      <c r="P102" s="488" t="s">
        <v>285</v>
      </c>
    </row>
    <row r="103" spans="15:16" x14ac:dyDescent="0.25">
      <c r="O103" s="487">
        <v>62</v>
      </c>
      <c r="P103" s="488" t="s">
        <v>285</v>
      </c>
    </row>
    <row r="104" spans="15:16" x14ac:dyDescent="0.25">
      <c r="O104" s="487">
        <v>63</v>
      </c>
      <c r="P104" s="488" t="s">
        <v>285</v>
      </c>
    </row>
    <row r="105" spans="15:16" x14ac:dyDescent="0.25">
      <c r="O105" s="487">
        <v>64</v>
      </c>
      <c r="P105" s="488" t="s">
        <v>285</v>
      </c>
    </row>
    <row r="106" spans="15:16" x14ac:dyDescent="0.25">
      <c r="O106" s="487">
        <v>65</v>
      </c>
      <c r="P106" s="488" t="s">
        <v>286</v>
      </c>
    </row>
    <row r="107" spans="15:16" x14ac:dyDescent="0.25">
      <c r="O107" s="487">
        <v>66</v>
      </c>
      <c r="P107" s="488" t="s">
        <v>286</v>
      </c>
    </row>
    <row r="108" spans="15:16" x14ac:dyDescent="0.25">
      <c r="O108" s="487">
        <v>67</v>
      </c>
      <c r="P108" s="488" t="s">
        <v>286</v>
      </c>
    </row>
    <row r="109" spans="15:16" x14ac:dyDescent="0.25">
      <c r="O109" s="487">
        <v>68</v>
      </c>
      <c r="P109" s="488" t="s">
        <v>286</v>
      </c>
    </row>
    <row r="110" spans="15:16" ht="15.75" thickBot="1" x14ac:dyDescent="0.3">
      <c r="O110" s="489">
        <v>69</v>
      </c>
      <c r="P110" s="490" t="s">
        <v>286</v>
      </c>
    </row>
    <row r="111" spans="15:16" ht="15.75" thickTop="1" x14ac:dyDescent="0.25"/>
  </sheetData>
  <sortState xmlns:xlrd2="http://schemas.microsoft.com/office/spreadsheetml/2017/richdata2" ref="B32:C35">
    <sortCondition ref="B31"/>
  </sortState>
  <mergeCells count="2">
    <mergeCell ref="Q36:R36"/>
    <mergeCell ref="S36:T3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A1"/>
  <sheetViews>
    <sheetView zoomScale="85" zoomScaleNormal="85" workbookViewId="0">
      <selection activeCell="L15" sqref="L15"/>
    </sheetView>
  </sheetViews>
  <sheetFormatPr baseColWidth="10" defaultRowHeight="15" x14ac:dyDescent="0.25"/>
  <sheetData>
    <row r="1" spans="1:1" x14ac:dyDescent="0.25">
      <c r="A1" s="592" t="s">
        <v>332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Calculateur</vt:lpstr>
      <vt:lpstr>Taux</vt:lpstr>
      <vt:lpstr>Nouveau taux</vt:lpstr>
      <vt:lpstr>Calculator</vt:lpstr>
      <vt:lpstr>Taux anglais</vt:lpstr>
      <vt:lpstr>PDF de La Capitale</vt:lpstr>
      <vt:lpstr>Courte_LaSalle</vt:lpstr>
      <vt:lpstr>Courte_Laval</vt:lpstr>
      <vt:lpstr>Courte_Les_autres</vt:lpstr>
      <vt:lpstr>Courte_Trinité</vt:lpstr>
      <vt:lpstr>Taux_courte</vt:lpstr>
      <vt:lpstr>Taux_courte_anglais</vt:lpstr>
      <vt:lpstr>Calculateur!Zone_d_impression</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Sabourin</dc:creator>
  <cp:lastModifiedBy>Daniel Légaré</cp:lastModifiedBy>
  <cp:lastPrinted>2014-11-03T22:35:13Z</cp:lastPrinted>
  <dcterms:created xsi:type="dcterms:W3CDTF">2012-08-16T15:50:10Z</dcterms:created>
  <dcterms:modified xsi:type="dcterms:W3CDTF">2022-10-28T13:05:03Z</dcterms:modified>
</cp:coreProperties>
</file>