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T:\FNEEQ_General\INFORMATION\Web\MANDAT 2018-2021\2021\Assurances-Retraite\"/>
    </mc:Choice>
  </mc:AlternateContent>
  <xr:revisionPtr revIDLastSave="0" documentId="8_{4257155A-E95C-42C1-8C50-2BED3885DDC0}" xr6:coauthVersionLast="45" xr6:coauthVersionMax="45" xr10:uidLastSave="{00000000-0000-0000-0000-000000000000}"/>
  <bookViews>
    <workbookView xWindow="-120" yWindow="-120" windowWidth="20730" windowHeight="11160" tabRatio="777" activeTab="1" xr2:uid="{00000000-000D-0000-FFFF-FFFF00000000}"/>
  </bookViews>
  <sheets>
    <sheet name="Utilisation" sheetId="8" r:id="rId1"/>
    <sheet name="Rente_approximative" sheetId="1" r:id="rId2"/>
    <sheet name="Indexation" sheetId="9" r:id="rId3"/>
    <sheet name="RRQ" sheetId="7" r:id="rId4"/>
    <sheet name="Salaires_10_20" sheetId="4" state="hidden" r:id="rId5"/>
    <sheet name="PP" sheetId="13" state="hidden" r:id="rId6"/>
    <sheet name="Sign" sheetId="6" state="hidden" r:id="rId7"/>
  </sheets>
  <definedNames>
    <definedName name="_35__du_MGA">PP!$V$12</definedName>
    <definedName name="Admissibilite">Rente_approximative!$D$15</definedName>
    <definedName name="Admissible_Oui_ou_Non">Rente_approximative!$I$37</definedName>
    <definedName name="Age_Ret">Rente_approximative!$D$38</definedName>
    <definedName name="Critère_retenu">Rente_approximative!$I$42</definedName>
    <definedName name="Date_Naissance">Rente_approximative!$D$8</definedName>
    <definedName name="Date_retraite">Rente_approximative!$D$5</definedName>
    <definedName name="Date_salaire_colonne">Salaires_10_20!$B$3:$Q$4</definedName>
    <definedName name="Echelon">Rente_approximative!$D$9</definedName>
    <definedName name="Estimation">Rente_approximative!$D$19</definedName>
    <definedName name="Estimation_sans_réduction">Rente_approximative!$D$21</definedName>
    <definedName name="Exemption">PP!$V$13</definedName>
    <definedName name="Facteur_de_réduction">PP!$V$15</definedName>
    <definedName name="MGA">PP!$E$4</definedName>
    <definedName name="Moyenne_automatique">Rente_approximative!$P$21</definedName>
    <definedName name="Moyenne_manuelle">Rente_approximative!$N$31</definedName>
    <definedName name="Moyenne_salariale">Rente_approximative!$D$31</definedName>
    <definedName name="Naissance">Rente_approximative!$D$8</definedName>
    <definedName name="Reduction">Rente_approximative!$D$25</definedName>
    <definedName name="Reduction_en_dollars">Rente_approximative!$D$27</definedName>
    <definedName name="Salaire_10_20">Salaires_10_20!$B$5:$Q$24</definedName>
    <definedName name="Service">PP!$Y$8</definedName>
    <definedName name="Services_calcul">Rente_approximative!$D$16</definedName>
    <definedName name="TAIR">Indexation!$F$19</definedName>
    <definedName name="Taux_de_cotisation">PP!$V$14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 i="13" l="1"/>
  <c r="E27" i="13"/>
  <c r="I6" i="13"/>
  <c r="V11" i="13"/>
  <c r="V12" i="13" s="1"/>
  <c r="V33" i="13"/>
  <c r="Z30" i="13"/>
  <c r="Z29" i="13"/>
  <c r="AB29" i="13" s="1"/>
  <c r="Z28" i="13"/>
  <c r="AB28" i="13" s="1"/>
  <c r="Z27" i="13"/>
  <c r="AB27" i="13" s="1"/>
  <c r="Z26" i="13"/>
  <c r="Z25" i="13"/>
  <c r="Z24" i="13"/>
  <c r="AB24" i="13" s="1"/>
  <c r="Z23" i="13"/>
  <c r="AB23" i="13" s="1"/>
  <c r="Z22" i="13"/>
  <c r="Z21" i="13"/>
  <c r="AA21" i="13" s="1"/>
  <c r="Z20" i="13"/>
  <c r="AB20" i="13" s="1"/>
  <c r="Z19" i="13"/>
  <c r="AB19" i="13" s="1"/>
  <c r="Z18" i="13"/>
  <c r="Z17" i="13"/>
  <c r="AA17" i="13" s="1"/>
  <c r="Z16" i="13"/>
  <c r="Z15" i="13"/>
  <c r="Z14" i="13"/>
  <c r="Z13" i="13"/>
  <c r="Z12" i="13"/>
  <c r="Z11" i="13"/>
  <c r="AA11" i="13" s="1"/>
  <c r="AA12" i="13" l="1"/>
  <c r="AA24" i="13"/>
  <c r="AC24" i="13" s="1"/>
  <c r="AD24" i="13" s="1"/>
  <c r="AB12" i="13"/>
  <c r="AA28" i="13"/>
  <c r="AC28" i="13" s="1"/>
  <c r="AD28" i="13" s="1"/>
  <c r="AB21" i="13"/>
  <c r="AC21" i="13" s="1"/>
  <c r="AD21" i="13" s="1"/>
  <c r="AA13" i="13"/>
  <c r="AA16" i="13"/>
  <c r="AB13" i="13"/>
  <c r="AB16" i="13"/>
  <c r="AA20" i="13"/>
  <c r="AC20" i="13" s="1"/>
  <c r="AD20" i="13" s="1"/>
  <c r="AA29" i="13"/>
  <c r="AC29" i="13" s="1"/>
  <c r="AD29" i="13" s="1"/>
  <c r="AB15" i="13"/>
  <c r="AA18" i="13"/>
  <c r="AA26" i="13"/>
  <c r="AC26" i="13" s="1"/>
  <c r="AD26" i="13" s="1"/>
  <c r="AA15" i="13"/>
  <c r="AC15" i="13" s="1"/>
  <c r="AD15" i="13" s="1"/>
  <c r="AB18" i="13"/>
  <c r="AA23" i="13"/>
  <c r="AC23" i="13" s="1"/>
  <c r="AD23" i="13" s="1"/>
  <c r="AB26" i="13"/>
  <c r="AA25" i="13"/>
  <c r="AA14" i="13"/>
  <c r="AB17" i="13"/>
  <c r="AC17" i="13" s="1"/>
  <c r="AD17" i="13" s="1"/>
  <c r="AA22" i="13"/>
  <c r="AC22" i="13" s="1"/>
  <c r="AD22" i="13" s="1"/>
  <c r="AB25" i="13"/>
  <c r="AA30" i="13"/>
  <c r="AB11" i="13"/>
  <c r="AC11" i="13" s="1"/>
  <c r="AD11" i="13" s="1"/>
  <c r="AB14" i="13"/>
  <c r="AA19" i="13"/>
  <c r="AC19" i="13" s="1"/>
  <c r="AD19" i="13" s="1"/>
  <c r="AB22" i="13"/>
  <c r="AA27" i="13"/>
  <c r="AC27" i="13" s="1"/>
  <c r="AD27" i="13" s="1"/>
  <c r="AB30" i="13"/>
  <c r="G8" i="9"/>
  <c r="G11" i="9" s="1"/>
  <c r="H11" i="9" s="1"/>
  <c r="G9" i="9"/>
  <c r="H9" i="9" s="1"/>
  <c r="G10" i="9"/>
  <c r="H10" i="9" s="1"/>
  <c r="I10" i="9" s="1"/>
  <c r="J10" i="9" s="1"/>
  <c r="K10" i="9" s="1"/>
  <c r="L10" i="9" s="1"/>
  <c r="F11" i="9"/>
  <c r="J14" i="9"/>
  <c r="AC25" i="13" l="1"/>
  <c r="AD25" i="13" s="1"/>
  <c r="AC16" i="13"/>
  <c r="AD16" i="13" s="1"/>
  <c r="AC13" i="13"/>
  <c r="AD13" i="13" s="1"/>
  <c r="AC18" i="13"/>
  <c r="AD18" i="13" s="1"/>
  <c r="AC14" i="13"/>
  <c r="AD14" i="13" s="1"/>
  <c r="AC30" i="13"/>
  <c r="AD30" i="13" s="1"/>
  <c r="AC12" i="13"/>
  <c r="AD12" i="13" s="1"/>
  <c r="H8" i="9"/>
  <c r="I8" i="9" s="1"/>
  <c r="J8" i="9" s="1"/>
  <c r="K8" i="9" s="1"/>
  <c r="L8" i="9" s="1"/>
  <c r="K9" i="9"/>
  <c r="J9" i="9"/>
  <c r="I9" i="9"/>
  <c r="I11" i="9" s="1"/>
  <c r="L9" i="9"/>
  <c r="J11" i="9" l="1"/>
  <c r="K11" i="9" l="1"/>
  <c r="L11" i="9"/>
  <c r="J13" i="9" s="1"/>
  <c r="K39" i="7" l="1"/>
  <c r="I17" i="13"/>
  <c r="M16" i="13" s="1"/>
  <c r="M17" i="13" s="1"/>
  <c r="I16" i="13"/>
  <c r="L16" i="13" s="1"/>
  <c r="L17" i="13" s="1"/>
  <c r="I8" i="13"/>
  <c r="I10" i="13" s="1"/>
  <c r="E41" i="13"/>
  <c r="X86" i="13" l="1"/>
  <c r="Q114" i="13"/>
  <c r="G10" i="7"/>
  <c r="I10" i="7" s="1"/>
  <c r="C10" i="7"/>
  <c r="H10" i="7" l="1"/>
  <c r="N120" i="13"/>
  <c r="N121" i="13" s="1"/>
  <c r="N122" i="13" s="1"/>
  <c r="N123" i="13" s="1"/>
  <c r="N124" i="13" s="1"/>
  <c r="N125" i="13" s="1"/>
  <c r="N126" i="13" s="1"/>
  <c r="N127" i="13" s="1"/>
  <c r="N128" i="13" s="1"/>
  <c r="N129" i="13" s="1"/>
  <c r="N130" i="13" s="1"/>
  <c r="N131" i="13" s="1"/>
  <c r="N132" i="13" s="1"/>
  <c r="N133" i="13" s="1"/>
  <c r="N134" i="13" s="1"/>
  <c r="N135" i="13" s="1"/>
  <c r="N136" i="13" s="1"/>
  <c r="N137" i="13" s="1"/>
  <c r="N138" i="13" s="1"/>
  <c r="N139" i="13" s="1"/>
  <c r="N140" i="13" s="1"/>
  <c r="N141" i="13" s="1"/>
  <c r="N142" i="13" s="1"/>
  <c r="N143" i="13" s="1"/>
  <c r="N144" i="13" s="1"/>
  <c r="N145" i="13" s="1"/>
  <c r="N146" i="13" s="1"/>
  <c r="N147" i="13" s="1"/>
  <c r="N148" i="13" s="1"/>
  <c r="N149" i="13" s="1"/>
  <c r="N150" i="13" s="1"/>
  <c r="N151" i="13" s="1"/>
  <c r="N152" i="13" s="1"/>
  <c r="N153" i="13" s="1"/>
  <c r="N154" i="13" s="1"/>
  <c r="N155" i="13" s="1"/>
  <c r="N156" i="13" s="1"/>
  <c r="N157" i="13" s="1"/>
  <c r="N158" i="13" s="1"/>
  <c r="N159" i="13" s="1"/>
  <c r="N160" i="13" s="1"/>
  <c r="N161" i="13" s="1"/>
  <c r="N116" i="13"/>
  <c r="N117" i="13" s="1"/>
  <c r="N118" i="13" s="1"/>
  <c r="AO33" i="13" l="1"/>
  <c r="AN33" i="13"/>
  <c r="AM33" i="13"/>
  <c r="AL33" i="13"/>
  <c r="AK33" i="13"/>
  <c r="AA9" i="7" l="1"/>
  <c r="AA16" i="7" s="1"/>
  <c r="AA17" i="7" s="1"/>
  <c r="AA10" i="7" l="1"/>
  <c r="AA12" i="7" s="1"/>
  <c r="L51" i="13"/>
  <c r="L52" i="13" s="1"/>
  <c r="L53" i="13" s="1"/>
  <c r="L54" i="13" s="1"/>
  <c r="L55" i="13" s="1"/>
  <c r="L56" i="13" s="1"/>
  <c r="L57" i="13" s="1"/>
  <c r="L58" i="13" s="1"/>
  <c r="L59" i="13" s="1"/>
  <c r="L60" i="13" s="1"/>
  <c r="L61" i="13" s="1"/>
  <c r="L62" i="13" s="1"/>
  <c r="L63" i="13" s="1"/>
  <c r="L64" i="13" s="1"/>
  <c r="L65" i="13" s="1"/>
  <c r="L66" i="13" s="1"/>
  <c r="L67" i="13" s="1"/>
  <c r="L68" i="13" s="1"/>
  <c r="L69" i="13" s="1"/>
  <c r="L70" i="13" s="1"/>
  <c r="L71" i="13" s="1"/>
  <c r="L72" i="13" s="1"/>
  <c r="L73" i="13" s="1"/>
  <c r="E45" i="13"/>
  <c r="E29" i="13"/>
  <c r="E31" i="13" s="1"/>
  <c r="E22" i="13"/>
  <c r="E19" i="13"/>
  <c r="P8" i="13"/>
  <c r="O8" i="13"/>
  <c r="N8" i="13"/>
  <c r="M8" i="13"/>
  <c r="L8" i="13"/>
  <c r="E14" i="13"/>
  <c r="P9" i="13"/>
  <c r="E5" i="13"/>
  <c r="E6" i="13" s="1"/>
  <c r="E8" i="13" s="1"/>
  <c r="E9" i="13" s="1"/>
  <c r="E23" i="13" l="1"/>
  <c r="AA19" i="7"/>
  <c r="M9" i="13"/>
  <c r="L9" i="13"/>
  <c r="N9" i="13"/>
  <c r="O9" i="13"/>
  <c r="D15" i="1"/>
  <c r="D16" i="1"/>
  <c r="D37" i="1"/>
  <c r="D36" i="1"/>
  <c r="D38" i="1" s="1"/>
  <c r="I39" i="1" s="1"/>
  <c r="I38" i="1" l="1"/>
  <c r="M10" i="13"/>
  <c r="O10" i="13"/>
  <c r="L18" i="13" s="1"/>
  <c r="N10" i="13"/>
  <c r="L10" i="13"/>
  <c r="P10" i="13"/>
  <c r="M18" i="13" s="1"/>
  <c r="D6" i="1"/>
  <c r="D39" i="1"/>
  <c r="D41" i="1" l="1"/>
  <c r="D40" i="1"/>
  <c r="I37" i="1"/>
  <c r="I40" i="1"/>
  <c r="D43" i="1"/>
  <c r="E29" i="1" l="1"/>
  <c r="E19" i="1"/>
  <c r="E5" i="1"/>
  <c r="F41" i="9" l="1"/>
  <c r="F55" i="9"/>
  <c r="F54" i="9" s="1"/>
  <c r="F57" i="9" s="1"/>
  <c r="K31" i="7"/>
  <c r="F45" i="9"/>
  <c r="F46" i="9" s="1"/>
  <c r="F49" i="9" s="1"/>
  <c r="F48" i="9" l="1"/>
  <c r="F58" i="9"/>
  <c r="G29" i="9" l="1"/>
  <c r="F26" i="9"/>
  <c r="B17" i="9" l="1"/>
  <c r="B18" i="9" l="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I65" i="7"/>
  <c r="I64" i="7"/>
  <c r="I63" i="7"/>
  <c r="I62" i="7"/>
  <c r="I61" i="7"/>
  <c r="I60" i="7"/>
  <c r="I59" i="7"/>
  <c r="I58" i="7"/>
  <c r="I57" i="7"/>
  <c r="I56" i="7"/>
  <c r="I55" i="7"/>
  <c r="I54" i="7"/>
  <c r="I53" i="7"/>
  <c r="I52" i="7"/>
  <c r="I51" i="7"/>
  <c r="I50" i="7"/>
  <c r="I49" i="7"/>
  <c r="I48" i="7"/>
  <c r="I47" i="7"/>
  <c r="I46" i="7"/>
  <c r="I45" i="7"/>
  <c r="I44" i="7"/>
  <c r="I43" i="7"/>
  <c r="I42" i="7"/>
  <c r="I41" i="7"/>
  <c r="I40" i="7"/>
  <c r="I39" i="7"/>
  <c r="I38" i="7"/>
  <c r="I37" i="7"/>
  <c r="I36" i="7"/>
  <c r="I35" i="7"/>
  <c r="I34" i="7"/>
  <c r="I33" i="7"/>
  <c r="I32" i="7"/>
  <c r="I31" i="7"/>
  <c r="I30" i="7"/>
  <c r="I29" i="7"/>
  <c r="I28" i="7"/>
  <c r="I27" i="7"/>
  <c r="I26" i="7"/>
  <c r="I25" i="7"/>
  <c r="I24" i="7"/>
  <c r="I23" i="7"/>
  <c r="I22" i="7"/>
  <c r="I21" i="7"/>
  <c r="I20" i="7"/>
  <c r="I19" i="7"/>
  <c r="I18" i="7"/>
  <c r="I17" i="7"/>
  <c r="I16" i="7"/>
  <c r="I15" i="7"/>
  <c r="I14" i="7"/>
  <c r="I13" i="7"/>
  <c r="K10" i="7"/>
  <c r="H13"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G11" i="7"/>
  <c r="C11" i="7" s="1"/>
  <c r="H11" i="7" l="1"/>
  <c r="I11" i="7"/>
  <c r="K38" i="7"/>
  <c r="O38" i="7" s="1"/>
  <c r="G12" i="7"/>
  <c r="I12" i="7" l="1"/>
  <c r="K13" i="7" s="1"/>
  <c r="C12" i="7"/>
  <c r="K14" i="7" l="1"/>
  <c r="K12" i="7"/>
  <c r="K11" i="7" s="1"/>
  <c r="K22" i="7" l="1"/>
  <c r="K24" i="7"/>
  <c r="H14" i="7" l="1"/>
  <c r="K72" i="7" l="1"/>
  <c r="K73" i="7" s="1"/>
  <c r="K75" i="7" s="1"/>
  <c r="K40" i="7" l="1"/>
  <c r="O40" i="7" s="1"/>
  <c r="O39" i="7"/>
  <c r="H65" i="7"/>
  <c r="H64" i="7"/>
  <c r="H63" i="7"/>
  <c r="H62" i="7"/>
  <c r="H61" i="7"/>
  <c r="H60" i="7"/>
  <c r="H59" i="7"/>
  <c r="H58" i="7"/>
  <c r="H57" i="7"/>
  <c r="H56" i="7"/>
  <c r="H55" i="7"/>
  <c r="H54" i="7"/>
  <c r="H53" i="7"/>
  <c r="H52" i="7"/>
  <c r="H51" i="7"/>
  <c r="H50" i="7"/>
  <c r="B72" i="7" l="1"/>
  <c r="H15" i="7"/>
  <c r="K16" i="7" l="1"/>
  <c r="K48" i="7"/>
  <c r="K49" i="7" s="1"/>
  <c r="K20" i="7" l="1"/>
  <c r="H12" i="7"/>
  <c r="H49" i="7"/>
  <c r="H48" i="7"/>
  <c r="H47" i="7"/>
  <c r="H46" i="7"/>
  <c r="H45" i="7"/>
  <c r="H44" i="7"/>
  <c r="H43" i="7"/>
  <c r="H42" i="7"/>
  <c r="H41" i="7"/>
  <c r="H40" i="7"/>
  <c r="H39" i="7"/>
  <c r="H38" i="7"/>
  <c r="H37" i="7"/>
  <c r="H36" i="7"/>
  <c r="H35" i="7"/>
  <c r="H34" i="7"/>
  <c r="H33" i="7"/>
  <c r="H32" i="7"/>
  <c r="H31" i="7"/>
  <c r="H30" i="7"/>
  <c r="H29" i="7"/>
  <c r="H28" i="7"/>
  <c r="H27" i="7"/>
  <c r="H26" i="7"/>
  <c r="H25" i="7"/>
  <c r="H24" i="7"/>
  <c r="H23" i="7"/>
  <c r="H22" i="7"/>
  <c r="H21" i="7"/>
  <c r="H20" i="7"/>
  <c r="H19" i="7"/>
  <c r="H18" i="7"/>
  <c r="H17" i="7"/>
  <c r="H16" i="7"/>
  <c r="K15" i="7" l="1"/>
  <c r="K17" i="7" s="1"/>
  <c r="K34" i="7" s="1"/>
  <c r="K35" i="7" s="1"/>
  <c r="K16" i="1" l="1"/>
  <c r="L15" i="1"/>
  <c r="K17" i="1" l="1"/>
  <c r="K18" i="1" s="1"/>
  <c r="K19" i="1" s="1"/>
  <c r="K20" i="1" s="1"/>
  <c r="K18" i="7"/>
  <c r="L16" i="1"/>
  <c r="L17" i="1" l="1"/>
  <c r="L18" i="1"/>
  <c r="K50" i="7" l="1"/>
  <c r="L19" i="1"/>
  <c r="L20" i="1" l="1"/>
  <c r="D27" i="4" l="1"/>
  <c r="M20" i="1"/>
  <c r="G27" i="4"/>
  <c r="E27" i="4"/>
  <c r="F27" i="4" s="1"/>
  <c r="O20" i="1" l="1"/>
  <c r="N20" i="1"/>
  <c r="P20" i="1" l="1"/>
  <c r="M19" i="1" l="1"/>
  <c r="O19" i="1" l="1"/>
  <c r="N19" i="1"/>
  <c r="M30" i="1"/>
  <c r="M18" i="1"/>
  <c r="P19" i="1" l="1"/>
  <c r="O18" i="1"/>
  <c r="N18" i="1"/>
  <c r="M29" i="1"/>
  <c r="M17" i="1"/>
  <c r="O17" i="1" l="1"/>
  <c r="N17" i="1"/>
  <c r="P18" i="1"/>
  <c r="M28" i="1"/>
  <c r="M16" i="1"/>
  <c r="N16" i="1" s="1"/>
  <c r="P17" i="1" l="1"/>
  <c r="O16" i="1"/>
  <c r="P16" i="1" s="1"/>
  <c r="M15" i="1"/>
  <c r="M27" i="1"/>
  <c r="O15" i="1" l="1"/>
  <c r="N15" i="1"/>
  <c r="M26" i="1"/>
  <c r="P15" i="1" l="1"/>
  <c r="N31" i="1"/>
  <c r="E31" i="1" s="1"/>
  <c r="P21" i="1" l="1"/>
  <c r="K53" i="7" l="1"/>
  <c r="K54" i="7" s="1"/>
  <c r="L53" i="7"/>
  <c r="D42" i="1"/>
  <c r="I42" i="1" l="1"/>
  <c r="D23" i="1" s="1"/>
  <c r="D25" i="1" s="1"/>
  <c r="E21" i="1" l="1"/>
  <c r="E23" i="1"/>
  <c r="E25" i="1"/>
  <c r="F20" i="9"/>
  <c r="D31" i="1" l="1"/>
  <c r="D21" i="1" s="1"/>
  <c r="G25" i="9"/>
  <c r="H25" i="9" s="1"/>
  <c r="I25" i="9" s="1"/>
  <c r="J25" i="9" s="1"/>
  <c r="K25" i="9" s="1"/>
  <c r="L25" i="9" s="1"/>
  <c r="G23" i="9"/>
  <c r="G24" i="9"/>
  <c r="H24" i="9" s="1"/>
  <c r="I24" i="9" s="1"/>
  <c r="J24" i="9" s="1"/>
  <c r="K24" i="9" s="1"/>
  <c r="L24" i="9" s="1"/>
  <c r="G26" i="9" l="1"/>
  <c r="H23" i="9"/>
  <c r="D27" i="1" l="1"/>
  <c r="D19" i="1" s="1"/>
  <c r="D29" i="1" s="1"/>
  <c r="K56" i="7"/>
  <c r="K61" i="7" s="1"/>
  <c r="K63" i="7" s="1"/>
  <c r="H26" i="9"/>
  <c r="I23" i="9"/>
  <c r="E27" i="1" l="1"/>
  <c r="K60" i="7"/>
  <c r="K64" i="7" s="1"/>
  <c r="K65" i="7" s="1"/>
  <c r="K66" i="7" s="1"/>
  <c r="K58" i="7"/>
  <c r="I26" i="9"/>
  <c r="J23" i="9"/>
  <c r="K23" i="9" l="1"/>
  <c r="J26" i="9"/>
  <c r="K26" i="9" l="1"/>
  <c r="L23" i="9"/>
  <c r="L26" i="9" s="1"/>
  <c r="G28" i="9" s="1"/>
  <c r="G30" i="9" s="1"/>
</calcChain>
</file>

<file path=xl/sharedStrings.xml><?xml version="1.0" encoding="utf-8"?>
<sst xmlns="http://schemas.openxmlformats.org/spreadsheetml/2006/main" count="495" uniqueCount="299">
  <si>
    <t>http://www.carra.gouv.qc.ca/fra/regime/rregop/rregop_s15.htm</t>
  </si>
  <si>
    <t>Échelon actuel</t>
  </si>
  <si>
    <t>Salaire au:</t>
  </si>
  <si>
    <t>Échelon</t>
  </si>
  <si>
    <t>Tableau: Salaire_10_20</t>
  </si>
  <si>
    <t>Date</t>
  </si>
  <si>
    <t>Salaire moyen</t>
  </si>
  <si>
    <t>Après le 2 avril 2019, les salaires sont les mêmes</t>
  </si>
  <si>
    <t>Colonne date</t>
  </si>
  <si>
    <t>Salaire échelon et Date</t>
  </si>
  <si>
    <t>Date retraite</t>
  </si>
  <si>
    <t>mois</t>
  </si>
  <si>
    <t>ans</t>
  </si>
  <si>
    <t>Daniel Légaré janvier 2016</t>
  </si>
  <si>
    <t>Moyenne:</t>
  </si>
  <si>
    <t>Les salaires sont à titre indicatif</t>
  </si>
  <si>
    <t>35 ans de service:</t>
  </si>
  <si>
    <t>Anticipation:</t>
  </si>
  <si>
    <t>Critère retenu:</t>
  </si>
  <si>
    <t>61 ans d'âge:</t>
  </si>
  <si>
    <t>Années de service</t>
  </si>
  <si>
    <t>Daniel Légaré février 2016</t>
  </si>
  <si>
    <t>Âge</t>
  </si>
  <si>
    <t>55 ans d'âge ou 35 ans de service:</t>
  </si>
  <si>
    <t>Service admissible à 60 ans</t>
  </si>
  <si>
    <t>Mois avant 60 ans</t>
  </si>
  <si>
    <t>Critères d'admissibilités:</t>
  </si>
  <si>
    <t>Situation</t>
  </si>
  <si>
    <t>Anticipation pour le facteur 90:</t>
  </si>
  <si>
    <t>Enregistrer le fichier sous un nom différent afin de conserver l'original</t>
  </si>
  <si>
    <t>Années de service pour le calcul de la rente à date de prise de retraite</t>
  </si>
  <si>
    <t>Années de service pour fin d'admissibilité à la date de prise de la retraite</t>
  </si>
  <si>
    <t>Date de naissance (AAAA-MM-JJ)</t>
  </si>
  <si>
    <t>Corr.</t>
  </si>
  <si>
    <t>2e étape</t>
  </si>
  <si>
    <t>MGA</t>
  </si>
  <si>
    <t>Revenus admissibles</t>
  </si>
  <si>
    <t>Par mois</t>
  </si>
  <si>
    <t xml:space="preserve">Revenu de travail annuel réajusté </t>
  </si>
  <si>
    <t>Somme des revenus de travail réajustés depuis l'âge de 18 ans</t>
  </si>
  <si>
    <t>Somme des revenus admissibles à retirer</t>
  </si>
  <si>
    <t>Annuellement</t>
  </si>
  <si>
    <t>3e étape</t>
  </si>
  <si>
    <t>Pénalité par mois</t>
  </si>
  <si>
    <t>par mois après 65 ans max 42%</t>
  </si>
  <si>
    <t>Nombre de mois après 65 ans</t>
  </si>
  <si>
    <t>Max annuellement RRQ</t>
  </si>
  <si>
    <t>Année</t>
  </si>
  <si>
    <t>Mois Cot.</t>
  </si>
  <si>
    <t>Pour utiliser le fichier :</t>
  </si>
  <si>
    <t>Nombre de mois à retrancher</t>
  </si>
  <si>
    <t>1re étape: Ajustement des revenus admissibles.</t>
  </si>
  <si>
    <t>à 65 ans (100 % de la rente maximale)</t>
  </si>
  <si>
    <t>à 60 ans (64 % de la rente maximale)</t>
  </si>
  <si>
    <t>à 70 ans (142 % de la rente maximale)</t>
  </si>
  <si>
    <t>Réduction de 0,6% par mois avant 65 ans max 36%</t>
  </si>
  <si>
    <t>Nombre de mois avant 65 ans</t>
  </si>
  <si>
    <t>Bonification par mois</t>
  </si>
  <si>
    <t>Rente mensuelle RRQ</t>
  </si>
  <si>
    <t>Exemption</t>
  </si>
  <si>
    <t>Rente ajustée avant ou après 65 ans</t>
  </si>
  <si>
    <t>Somme des 68 mois dont les revenus sont les plus faibles</t>
  </si>
  <si>
    <t>15% de tous les mois cotisés = 68 mois</t>
  </si>
  <si>
    <t>Ajuster la rente à la baisse ou à la hausse si vous appelez votre rente de retraite avant ou après 65 ans.</t>
  </si>
  <si>
    <t>Déterminer sa rente du RRQ, remplir le tableau ci-dessous à l'aide de son état de participation</t>
  </si>
  <si>
    <t>Moyenne des MGA des 5 dernières années</t>
  </si>
  <si>
    <t>Coordination avec le RRQ à 65 ans</t>
  </si>
  <si>
    <t>Rente au RRQ à la date de la prise de la retraite</t>
  </si>
  <si>
    <t>Rente au RRQ à l'âge de 65 ans</t>
  </si>
  <si>
    <t>Coordination mensuelle avec le RRQ, réduction du RREGOP, à 65 ans</t>
  </si>
  <si>
    <t>Rente harmonisée à 65 ans</t>
  </si>
  <si>
    <t>Rente à la date de prise de la retraite et appel du RRQ à la même date</t>
  </si>
  <si>
    <t>Réduction à partir de 65 ans</t>
  </si>
  <si>
    <t>ans avant de récupérer un montant supérieur</t>
  </si>
  <si>
    <t>Le revenu de travail réajusté est une façon de compenser les sommes gagnées en dollars constants depuis 1966</t>
  </si>
  <si>
    <t>Somme supplémentaire provenant du RRQ pendant 39 mois</t>
  </si>
  <si>
    <t>PSV</t>
  </si>
  <si>
    <t>Rente mensuelle de la PSV</t>
  </si>
  <si>
    <t>Rente annuelle au RRQ</t>
  </si>
  <si>
    <t>TAIR</t>
  </si>
  <si>
    <t>TAIR :</t>
  </si>
  <si>
    <t>Entre le 1er juillet 1982 et le 31 décembre 1999 (TAIR - 3%) :</t>
  </si>
  <si>
    <t>Avant le 30 juin 1982 (TAIR) :</t>
  </si>
  <si>
    <t>Depuis le 1er janvier 2000 (TAIR - 3% ou 50% du TAIR) :</t>
  </si>
  <si>
    <t>Total :</t>
  </si>
  <si>
    <t>Rente</t>
  </si>
  <si>
    <t>Années de service aux fins de calcul par période</t>
  </si>
  <si>
    <t>Années</t>
  </si>
  <si>
    <t>Rente mensuelle du RREGOP jusqu'à 65 ans</t>
  </si>
  <si>
    <t>Retirer 15% des mois dont les revenus sont les plus faibles</t>
  </si>
  <si>
    <t>Correction</t>
  </si>
  <si>
    <t>Rente annuelle de la PSV en 2018</t>
  </si>
  <si>
    <t>Adm.</t>
  </si>
  <si>
    <t>Mois sous le MGA</t>
  </si>
  <si>
    <t>Mois à retrancher, soit 15% des mois cotisés dont les revenus sont les plus faibles, normalement les premières années de travail</t>
  </si>
  <si>
    <t>Mois cotisés</t>
  </si>
  <si>
    <t>Daniel Légaré</t>
  </si>
  <si>
    <t xml:space="preserve">Indexation sur 5 ans : </t>
  </si>
  <si>
    <t xml:space="preserve">Tair sur 5 ans : </t>
  </si>
  <si>
    <r>
      <t>1</t>
    </r>
    <r>
      <rPr>
        <vertAlign val="superscript"/>
        <sz val="11"/>
        <color theme="1"/>
        <rFont val="Calibri"/>
        <family val="2"/>
        <scheme val="minor"/>
      </rPr>
      <t>er</t>
    </r>
    <r>
      <rPr>
        <sz val="11"/>
        <color theme="1"/>
        <rFont val="Calibri"/>
        <family val="2"/>
        <scheme val="minor"/>
      </rPr>
      <t xml:space="preserve"> janvier 2000 (TAIR - 3% ou 50% du TAIR) :</t>
    </r>
  </si>
  <si>
    <t>Années de service par période</t>
  </si>
  <si>
    <t xml:space="preserve">Perte de pouvoir d'achat : </t>
  </si>
  <si>
    <t>Autre exemple sur 40 ans de service</t>
  </si>
  <si>
    <t>Indexation sur 5 ans</t>
  </si>
  <si>
    <t>IPC ou TAIR sur 5 ans</t>
  </si>
  <si>
    <t>Rente maximale du RRQ en 2020</t>
  </si>
  <si>
    <t>Rente par mois</t>
  </si>
  <si>
    <t>Bonification de la rente du RRQ</t>
  </si>
  <si>
    <t>Rente annuelle maximale</t>
  </si>
  <si>
    <t>Rente annuelle</t>
  </si>
  <si>
    <t>Pénalité annuelle</t>
  </si>
  <si>
    <t>Bonification annuelle</t>
  </si>
  <si>
    <t>Rente max. au RRQ en 2020</t>
  </si>
  <si>
    <t xml:space="preserve"> </t>
  </si>
  <si>
    <t xml:space="preserve">Exemple </t>
  </si>
  <si>
    <t>Rente par mois du RRQ</t>
  </si>
  <si>
    <t>Nombre de mois admissibles</t>
  </si>
  <si>
    <t>Par mois après 65 ans max 42%</t>
  </si>
  <si>
    <t>ATTENTION LES CALCULS CI-DESSOUS SONT À TITRES INDICATIFS SEULEMENT</t>
  </si>
  <si>
    <t>Annualisé</t>
  </si>
  <si>
    <t>Au 1er avril</t>
  </si>
  <si>
    <t>Au 1er janv.</t>
  </si>
  <si>
    <t>Salaire moyen de ses 5 meilleures années :</t>
  </si>
  <si>
    <r>
      <t>Du 1</t>
    </r>
    <r>
      <rPr>
        <vertAlign val="superscript"/>
        <sz val="11"/>
        <color theme="1"/>
        <rFont val="Calibri"/>
        <family val="2"/>
        <scheme val="minor"/>
      </rPr>
      <t>er</t>
    </r>
    <r>
      <rPr>
        <sz val="11"/>
        <color theme="1"/>
        <rFont val="Calibri"/>
        <family val="2"/>
        <scheme val="minor"/>
      </rPr>
      <t xml:space="preserve"> juill. 1982 au 31 déc. 1999 (TAIR - 3%) :</t>
    </r>
  </si>
  <si>
    <t>Rente harmonisée à 65 ans et RRQ appelée lors de la prise de retraite</t>
  </si>
  <si>
    <t>Tableau: Date_salaire_colonne</t>
  </si>
  <si>
    <t>Date du Relevé de participation</t>
  </si>
  <si>
    <t>Années de service pour l'admissibilité</t>
  </si>
  <si>
    <t>Années de service pour le calcul</t>
  </si>
  <si>
    <t>Si vous connaissez les salaires de vos 5 meilleures années, inscrivez-les ci-dessous:</t>
  </si>
  <si>
    <t>Lafortune :</t>
  </si>
  <si>
    <t xml:space="preserve">Salaire annuel : </t>
  </si>
  <si>
    <t xml:space="preserve">MGA : </t>
  </si>
  <si>
    <t>25% du MGA</t>
  </si>
  <si>
    <t xml:space="preserve">Salaire cotisable : </t>
  </si>
  <si>
    <t xml:space="preserve">Taux de cotisation : </t>
  </si>
  <si>
    <t xml:space="preserve">Cotisation : </t>
  </si>
  <si>
    <t xml:space="preserve">Par paie : </t>
  </si>
  <si>
    <t>Jules</t>
  </si>
  <si>
    <t xml:space="preserve">Années pour fins de calcul : </t>
  </si>
  <si>
    <t xml:space="preserve">Salaire moyen : </t>
  </si>
  <si>
    <t xml:space="preserve">Rente : </t>
  </si>
  <si>
    <t>Julie</t>
  </si>
  <si>
    <t>Années pour fins de calcul</t>
  </si>
  <si>
    <t xml:space="preserve">Rente sans réduction : </t>
  </si>
  <si>
    <t xml:space="preserve">Anticipation : </t>
  </si>
  <si>
    <t xml:space="preserve">Réduction : </t>
  </si>
  <si>
    <t xml:space="preserve">Rente avec réduction : </t>
  </si>
  <si>
    <t>Cotisation au RRQ</t>
  </si>
  <si>
    <t xml:space="preserve">Exemption de base : </t>
  </si>
  <si>
    <t xml:space="preserve">Gains cotisables : </t>
  </si>
  <si>
    <t>Cotisation :</t>
  </si>
  <si>
    <t>Coordination RRQ</t>
  </si>
  <si>
    <t>MGA moyen</t>
  </si>
  <si>
    <t xml:space="preserve">MAG moyen 5 ans : </t>
  </si>
  <si>
    <t>Facteur de réduction</t>
  </si>
  <si>
    <t>Année de service</t>
  </si>
  <si>
    <t>Utilisation des surplus au RREGOP</t>
  </si>
  <si>
    <t xml:space="preserve">Exemption : </t>
  </si>
  <si>
    <t>120% et +</t>
  </si>
  <si>
    <t>Amélioration de l'indexation de la rente pour les années entre 1982 et 2000</t>
  </si>
  <si>
    <t xml:space="preserve">À cotiser : </t>
  </si>
  <si>
    <t>Le taux de cotisation au RRQ passera de 5,4% à 6,4%  d'ici le 1er janvier 2023</t>
  </si>
  <si>
    <t xml:space="preserve">Taux de base : </t>
  </si>
  <si>
    <t>Baisse du taux de cotisation (amortissement sur 15 ans)</t>
  </si>
  <si>
    <t>Surplus versé dans un fonds de stablilisation</t>
  </si>
  <si>
    <t xml:space="preserve">Nouveau taux : </t>
  </si>
  <si>
    <t xml:space="preserve">Différence : </t>
  </si>
  <si>
    <t>Capitalisation</t>
  </si>
  <si>
    <t xml:space="preserve">Cotisation :  </t>
  </si>
  <si>
    <t xml:space="preserve">Par la suite dès 2024, une cotisation supplémentaire de 4% s'appliquera pour tout montant en excédant de 107% du MGA en 2024 et 114 % du MGA en 2025 </t>
  </si>
  <si>
    <t xml:space="preserve">Taux : </t>
  </si>
  <si>
    <t xml:space="preserve">Excédent : </t>
  </si>
  <si>
    <t xml:space="preserve">Augmentation : </t>
  </si>
  <si>
    <t>RREGOP évolution du taux de cotisation</t>
  </si>
  <si>
    <t>Solde au RREGOP</t>
  </si>
  <si>
    <t>Taux</t>
  </si>
  <si>
    <t>Mds $</t>
  </si>
  <si>
    <t>RRPE Taux d'évolution du taux de cotisation</t>
  </si>
  <si>
    <t>Le calcul de la diminution applicable à votre rente du RREGOP due à la coordination avec le RRQ</t>
  </si>
  <si>
    <r>
      <t>La diminution applicable à votre rente du RREGOP sera calculée de la façon suivante : le nombre d'années de service qui ont servi à calculer votre rente de base et qui ont été accomplies depuis le 1</t>
    </r>
    <r>
      <rPr>
        <sz val="9"/>
        <color rgb="FF444444"/>
        <rFont val="Arial"/>
        <family val="2"/>
      </rPr>
      <t>er</t>
    </r>
    <r>
      <rPr>
        <sz val="12"/>
        <color rgb="FF444444"/>
        <rFont val="Arial"/>
        <family val="2"/>
      </rPr>
      <t> janvier 1966 (au maximum 35 années) × le taux annuel de coordination de la rente avec le RRQ (0,7 %) × le plus petit montant entre le salaire admissible moyen de vos 5 dernières années de service et la moyenne des maximums des gains admissibles (MGA) de vos 5 dernières années de service.</t>
    </r>
  </si>
  <si>
    <t>https://www.retraitequebec.gouv.qc.ca/fr/publications/rrsp/rregop/Pages/rregop.aspx</t>
  </si>
  <si>
    <t>Exemption :</t>
  </si>
  <si>
    <t>Salaire cotisable :</t>
  </si>
  <si>
    <t>Salaire :</t>
  </si>
  <si>
    <t>Rente supplémentaire :</t>
  </si>
  <si>
    <t>Rente supp. par mois :</t>
  </si>
  <si>
    <t>Taux :</t>
  </si>
  <si>
    <t>Récupération des sommes cotisées :</t>
  </si>
  <si>
    <t>Sommes gagnées - exemption x 0,5%</t>
  </si>
  <si>
    <t xml:space="preserve">Cotisation au RRQ </t>
  </si>
  <si>
    <t>Rente supplémentaire au RRQ</t>
  </si>
  <si>
    <t xml:space="preserve">Cotisations : </t>
  </si>
  <si>
    <t>Régime</t>
  </si>
  <si>
    <t>Participants Actifs</t>
  </si>
  <si>
    <r>
      <t xml:space="preserve">Participants Non actifs </t>
    </r>
    <r>
      <rPr>
        <vertAlign val="superscript"/>
        <sz val="11"/>
        <color theme="1"/>
        <rFont val="Calibri"/>
        <family val="2"/>
      </rPr>
      <t>1</t>
    </r>
  </si>
  <si>
    <t>Retraités</t>
  </si>
  <si>
    <t>Conjoints et survivants</t>
  </si>
  <si>
    <t>Total</t>
  </si>
  <si>
    <t>RREGOP</t>
  </si>
  <si>
    <t>RRPE</t>
  </si>
  <si>
    <t>RRE</t>
  </si>
  <si>
    <t>RRF</t>
  </si>
  <si>
    <t>RRCE</t>
  </si>
  <si>
    <t>RREM</t>
  </si>
  <si>
    <t>RRMCM</t>
  </si>
  <si>
    <t>RRMSQ</t>
  </si>
  <si>
    <t>RRAPSC</t>
  </si>
  <si>
    <t>RRMAN</t>
  </si>
  <si>
    <t>Régimes des juges</t>
  </si>
  <si>
    <t>Protecteur du citoyen</t>
  </si>
  <si>
    <t>Régimes particuliers(d)</t>
  </si>
  <si>
    <t>RRCHCN</t>
  </si>
  <si>
    <t>RREFQ</t>
  </si>
  <si>
    <t xml:space="preserve">Évolution des indicateurs de maturité au RREGOP </t>
  </si>
  <si>
    <t>Actif/prestataire</t>
  </si>
  <si>
    <t>Proportion des inactifs</t>
  </si>
  <si>
    <t>Passif des prestataires/passif total</t>
  </si>
  <si>
    <t>n.d.</t>
  </si>
  <si>
    <t xml:space="preserve">Passif / masse salariale </t>
  </si>
  <si>
    <t>Caisse des participant/masse salariale</t>
  </si>
  <si>
    <t>Impact d'un manque à gagner de 10% sur le taux de cotisation</t>
  </si>
  <si>
    <t>Tair</t>
  </si>
  <si>
    <t>Tair-3%</t>
  </si>
  <si>
    <t>Tair-3% ou 50% du Tair</t>
  </si>
  <si>
    <t>12,30 %</t>
  </si>
  <si>
    <t>1,60 %</t>
  </si>
  <si>
    <t>0,00 %</t>
  </si>
  <si>
    <t>1,9 %</t>
  </si>
  <si>
    <t>0,95 %</t>
  </si>
  <si>
    <t>9,90 %</t>
  </si>
  <si>
    <t>0,90 %</t>
  </si>
  <si>
    <t>9,00 %</t>
  </si>
  <si>
    <t>1,90 %</t>
  </si>
  <si>
    <t>1,50 %</t>
  </si>
  <si>
    <t>7,50 %</t>
  </si>
  <si>
    <t>2,30 %</t>
  </si>
  <si>
    <t>8,20 %</t>
  </si>
  <si>
    <t>11,20 %</t>
  </si>
  <si>
    <t>10,40 %</t>
  </si>
  <si>
    <t>1,80 %</t>
  </si>
  <si>
    <t>5,80 %</t>
  </si>
  <si>
    <t>2,80 %</t>
  </si>
  <si>
    <t>4,80 %</t>
  </si>
  <si>
    <t>1,70 %</t>
  </si>
  <si>
    <t>0,85 %</t>
  </si>
  <si>
    <t>0,40 %</t>
  </si>
  <si>
    <t>0,20 %</t>
  </si>
  <si>
    <t>4,10 %</t>
  </si>
  <si>
    <t>1,10 %</t>
  </si>
  <si>
    <t>2,50 %</t>
  </si>
  <si>
    <t>1,25 %</t>
  </si>
  <si>
    <t>4,40 %</t>
  </si>
  <si>
    <t>1,40 %</t>
  </si>
  <si>
    <t>2,00 %</t>
  </si>
  <si>
    <t>1,00 %</t>
  </si>
  <si>
    <t>2,10 %</t>
  </si>
  <si>
    <t>1,05 %</t>
  </si>
  <si>
    <t>4,00 %</t>
  </si>
  <si>
    <t>1,15 %</t>
  </si>
  <si>
    <t>6,70 %</t>
  </si>
  <si>
    <t>3,70 %</t>
  </si>
  <si>
    <t>3,20 %</t>
  </si>
  <si>
    <t>0,80 %</t>
  </si>
  <si>
    <t>3,00 %</t>
  </si>
  <si>
    <t>Indexation depuis 1973</t>
  </si>
  <si>
    <t>https://www.carra.gouv.qc.ca/pdf/estimation-rente-nette-f.pdf</t>
  </si>
  <si>
    <t>Estimation du montant d'une rente nette pour l'année d'imposition 2020:</t>
  </si>
  <si>
    <t>Rente max. au RRQ en 2021</t>
  </si>
  <si>
    <t>Max RRQ en 2021</t>
  </si>
  <si>
    <t>En 2021</t>
  </si>
  <si>
    <t xml:space="preserve">MGA 2021 : </t>
  </si>
  <si>
    <t>MGA 2021 :</t>
  </si>
  <si>
    <t>Augmentation du taux de base (en fonction du MGA 2021)</t>
  </si>
  <si>
    <t>Régime supplémentaire (en fonction du MGA 2021)</t>
  </si>
  <si>
    <t>Taux en 2023</t>
  </si>
  <si>
    <t xml:space="preserve">Service: </t>
  </si>
  <si>
    <t>de tâche</t>
  </si>
  <si>
    <t>Éch.</t>
  </si>
  <si>
    <t>Sal_conven</t>
  </si>
  <si>
    <t>Salaire_cotisable</t>
  </si>
  <si>
    <t>Réduction</t>
  </si>
  <si>
    <t>Cotisation</t>
  </si>
  <si>
    <t>Par paye</t>
  </si>
  <si>
    <t>MGA :</t>
  </si>
  <si>
    <t>35% du MGA :</t>
  </si>
  <si>
    <t>25% du MGA :</t>
  </si>
  <si>
    <t>Taux de cotisation :</t>
  </si>
  <si>
    <t>Facteur de réduction :</t>
  </si>
  <si>
    <t>Slaire admissible max. :</t>
  </si>
  <si>
    <t>Taux d'intérêt :</t>
  </si>
  <si>
    <t>L'exemption pour les employés à temps partiel est calculée, en fonction des heures travaillées</t>
  </si>
  <si>
    <t>MGA/260j*6,5h/j :</t>
  </si>
  <si>
    <t>PP# 45</t>
  </si>
  <si>
    <t>Indiquer la date de prise de la retraite en D5 et votre date de anissance en D8 dans l'onglet: Rente_appoximative</t>
  </si>
  <si>
    <t>L’échelon actuel de la personne en D9, on peut corriger l’échelon d’une personne pour une année donnée dans les cellules roses K15 à K20, si une valeur est indiquée dans l’une de ces cellules, c’est cette valeur qui sera prise en compte.</t>
  </si>
  <si>
    <t>Si vous connaissez les données de votre dernier État de participation de Retraite Québec (la Carra), remplir les Cellules D11, D12 et D13, sinon indiquez une valeur dans les cellules roses C15 et C16, ce sont ces valeurs qui seront prises en compte pour le calcul. On peut toujours indiquer la date du jour dans la cellule D11 et les informations en date du jour même, dans les cellules D12 et D13, le calcul sera réalisé avec ces données.</t>
  </si>
  <si>
    <t>Pour ce qui est des salaires, si une personne connait le salaire de ses 5 meilleures années, elle peut les indiquer dans les cellules N26 à N30 si des valeurs sont indiquées dans ces cellules, le calcul se fera avec ces valeurs.</t>
  </si>
  <si>
    <t>Mois complet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</si>
</sst>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8" formatCode="#,##0.00\ &quot;$&quot;_);[Red]\(#,##0.00\ &quot;$&quot;\)"/>
    <numFmt numFmtId="42" formatCode="_ * #,##0_)\ &quot;$&quot;_ ;_ * \(#,##0\)\ &quot;$&quot;_ ;_ * &quot;-&quot;_)\ &quot;$&quot;_ ;_ @_ "/>
    <numFmt numFmtId="44" formatCode="_ * #,##0.00_)\ &quot;$&quot;_ ;_ * \(#,##0.00\)\ &quot;$&quot;_ ;_ * &quot;-&quot;??_)\ &quot;$&quot;_ ;_ @_ "/>
    <numFmt numFmtId="164" formatCode="#,##0\ &quot;$&quot;"/>
    <numFmt numFmtId="165" formatCode="0.0"/>
    <numFmt numFmtId="166" formatCode="[$-F800]dddd\,\ mmmm\ dd\,\ yyyy"/>
    <numFmt numFmtId="167" formatCode=";;;"/>
    <numFmt numFmtId="168" formatCode="#,##0.00\ &quot;$&quot;"/>
    <numFmt numFmtId="169" formatCode="0.0%"/>
    <numFmt numFmtId="170" formatCode="_ * #,##0_)\ _$_ ;_ * \(#,##0\)\ _$_ ;_ * &quot;-&quot;_)\ _$_ ;_ @_ "/>
    <numFmt numFmtId="171" formatCode="0%&quot; du MGA :&quot;"/>
    <numFmt numFmtId="172" formatCode="###.##&quot; ans&quot;"/>
    <numFmt numFmtId="173" formatCode="#,##0.00&quot; $/h&quot;"/>
    <numFmt numFmtId="174" formatCode="0.000"/>
  </numFmts>
  <fonts count="25" x14ac:knownFonts="1">
    <font>
      <sz val="11"/>
      <color theme="1"/>
      <name val="Calibri"/>
      <family val="2"/>
      <scheme val="minor"/>
    </font>
    <font>
      <u/>
      <sz val="11"/>
      <color theme="10"/>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1"/>
      <color rgb="FFFF0000"/>
      <name val="Calibri"/>
      <family val="2"/>
      <scheme val="minor"/>
    </font>
    <font>
      <b/>
      <sz val="14"/>
      <color theme="0"/>
      <name val="Calibri"/>
      <family val="2"/>
      <scheme val="minor"/>
    </font>
    <font>
      <b/>
      <sz val="11"/>
      <color theme="0"/>
      <name val="Calibri"/>
      <family val="2"/>
      <scheme val="minor"/>
    </font>
    <font>
      <sz val="16"/>
      <color rgb="FF1F497D"/>
      <name val="Calibri"/>
      <family val="2"/>
      <scheme val="minor"/>
    </font>
    <font>
      <sz val="9.35"/>
      <color rgb="FF000000"/>
      <name val="Verdana"/>
      <family val="2"/>
    </font>
    <font>
      <i/>
      <sz val="8.8000000000000007"/>
      <color rgb="FF000000"/>
      <name val="Verdana"/>
      <family val="2"/>
    </font>
    <font>
      <b/>
      <sz val="9.35"/>
      <color rgb="FF000000"/>
      <name val="Verdana"/>
      <family val="2"/>
    </font>
    <font>
      <sz val="11"/>
      <name val="Calibri"/>
      <family val="2"/>
      <scheme val="minor"/>
    </font>
    <font>
      <vertAlign val="superscript"/>
      <sz val="11"/>
      <color theme="1"/>
      <name val="Calibri"/>
      <family val="2"/>
      <scheme val="minor"/>
    </font>
    <font>
      <sz val="11"/>
      <color theme="0"/>
      <name val="Calibri"/>
      <family val="2"/>
      <scheme val="minor"/>
    </font>
    <font>
      <b/>
      <sz val="16"/>
      <color rgb="FFFF0000"/>
      <name val="Calibri"/>
      <family val="2"/>
      <scheme val="minor"/>
    </font>
    <font>
      <sz val="8"/>
      <name val="Calibri"/>
      <family val="2"/>
      <scheme val="minor"/>
    </font>
    <font>
      <b/>
      <sz val="10"/>
      <color theme="1"/>
      <name val="Calibri"/>
      <family val="2"/>
      <scheme val="minor"/>
    </font>
    <font>
      <b/>
      <sz val="11"/>
      <color theme="1"/>
      <name val="Calibri"/>
      <family val="2"/>
    </font>
    <font>
      <b/>
      <sz val="18"/>
      <color theme="1"/>
      <name val="Calibri"/>
      <family val="2"/>
    </font>
    <font>
      <sz val="13.5"/>
      <color rgb="FF444444"/>
      <name val="Arial"/>
      <family val="2"/>
    </font>
    <font>
      <sz val="12"/>
      <color rgb="FF444444"/>
      <name val="Arial"/>
      <family val="2"/>
    </font>
    <font>
      <sz val="9"/>
      <color rgb="FF444444"/>
      <name val="Arial"/>
      <family val="2"/>
    </font>
    <font>
      <vertAlign val="superscript"/>
      <sz val="11"/>
      <color theme="1"/>
      <name val="Calibri"/>
      <family val="2"/>
    </font>
    <font>
      <sz val="12.1"/>
      <color rgb="FF40474B"/>
      <name val="Calibri"/>
      <family val="2"/>
      <scheme val="minor"/>
    </font>
  </fonts>
  <fills count="24">
    <fill>
      <patternFill patternType="none"/>
    </fill>
    <fill>
      <patternFill patternType="gray125"/>
    </fill>
    <fill>
      <patternFill patternType="solid">
        <fgColor theme="9" tint="0.59999389629810485"/>
        <bgColor indexed="64"/>
      </patternFill>
    </fill>
    <fill>
      <patternFill patternType="solid">
        <fgColor rgb="FFFFFFCC"/>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rgb="FFFFCCCC"/>
        <bgColor indexed="64"/>
      </patternFill>
    </fill>
    <fill>
      <patternFill patternType="solid">
        <fgColor theme="9" tint="-0.249977111117893"/>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
      <patternFill patternType="solid">
        <fgColor theme="4" tint="0.39997558519241921"/>
        <bgColor indexed="64"/>
      </patternFill>
    </fill>
    <fill>
      <patternFill patternType="solid">
        <fgColor rgb="FFFF99FF"/>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00FFFF"/>
        <bgColor indexed="64"/>
      </patternFill>
    </fill>
    <fill>
      <patternFill patternType="solid">
        <fgColor rgb="FFFFFF66"/>
        <bgColor indexed="64"/>
      </patternFill>
    </fill>
    <fill>
      <patternFill patternType="solid">
        <fgColor rgb="FF00FF99"/>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FF9966"/>
        <bgColor indexed="64"/>
      </patternFill>
    </fill>
    <fill>
      <patternFill patternType="solid">
        <fgColor rgb="FFFF99CC"/>
        <bgColor indexed="64"/>
      </patternFill>
    </fill>
  </fills>
  <borders count="136">
    <border>
      <left/>
      <right/>
      <top/>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ck">
        <color indexed="64"/>
      </left>
      <right style="thick">
        <color indexed="64"/>
      </right>
      <top style="thick">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auto="1"/>
      </left>
      <right style="thick">
        <color rgb="FFFF0000"/>
      </right>
      <top style="thin">
        <color auto="1"/>
      </top>
      <bottom style="thin">
        <color auto="1"/>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ck">
        <color rgb="FFFF0000"/>
      </left>
      <right/>
      <top style="thin">
        <color auto="1"/>
      </top>
      <bottom style="thin">
        <color auto="1"/>
      </bottom>
      <diagonal/>
    </border>
    <border>
      <left style="thick">
        <color rgb="FFFF0000"/>
      </left>
      <right/>
      <top style="thin">
        <color auto="1"/>
      </top>
      <bottom style="thick">
        <color rgb="FFFF0000"/>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n">
        <color auto="1"/>
      </left>
      <right style="thick">
        <color rgb="FFFF0000"/>
      </right>
      <top/>
      <bottom style="thin">
        <color auto="1"/>
      </bottom>
      <diagonal/>
    </border>
    <border>
      <left style="thick">
        <color rgb="FFFF0000"/>
      </left>
      <right/>
      <top/>
      <bottom style="thin">
        <color indexed="64"/>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rgb="FFFF0000"/>
      </left>
      <right style="thick">
        <color rgb="FFFF0000"/>
      </right>
      <top style="thick">
        <color rgb="FFFF0000"/>
      </top>
      <bottom style="double">
        <color rgb="FFFF0000"/>
      </bottom>
      <diagonal/>
    </border>
    <border>
      <left style="thin">
        <color auto="1"/>
      </left>
      <right style="thin">
        <color auto="1"/>
      </right>
      <top style="thin">
        <color auto="1"/>
      </top>
      <bottom style="double">
        <color rgb="FFFF0000"/>
      </bottom>
      <diagonal/>
    </border>
    <border>
      <left style="thin">
        <color auto="1"/>
      </left>
      <right style="thick">
        <color rgb="FFFF0000"/>
      </right>
      <top style="thin">
        <color auto="1"/>
      </top>
      <bottom style="double">
        <color rgb="FFFF0000"/>
      </bottom>
      <diagonal/>
    </border>
    <border>
      <left style="thick">
        <color rgb="FFFF0000"/>
      </left>
      <right style="thick">
        <color rgb="FFFF0000"/>
      </right>
      <top style="double">
        <color rgb="FFFF0000"/>
      </top>
      <bottom style="thick">
        <color rgb="FFFF0000"/>
      </bottom>
      <diagonal/>
    </border>
    <border>
      <left style="thick">
        <color rgb="FFFF0000"/>
      </left>
      <right style="thin">
        <color auto="1"/>
      </right>
      <top/>
      <bottom style="double">
        <color rgb="FFFF0000"/>
      </bottom>
      <diagonal/>
    </border>
    <border>
      <left/>
      <right style="thick">
        <color rgb="FFFF0000"/>
      </right>
      <top/>
      <bottom style="thick">
        <color rgb="FFFF0000"/>
      </bottom>
      <diagonal/>
    </border>
    <border>
      <left/>
      <right style="thin">
        <color auto="1"/>
      </right>
      <top style="thick">
        <color rgb="FFFF0000"/>
      </top>
      <bottom style="thin">
        <color auto="1"/>
      </bottom>
      <diagonal/>
    </border>
    <border>
      <left style="thin">
        <color auto="1"/>
      </left>
      <right style="thin">
        <color auto="1"/>
      </right>
      <top style="thick">
        <color auto="1"/>
      </top>
      <bottom/>
      <diagonal/>
    </border>
    <border>
      <left style="thin">
        <color indexed="64"/>
      </left>
      <right style="thin">
        <color indexed="64"/>
      </right>
      <top style="double">
        <color auto="1"/>
      </top>
      <bottom style="thin">
        <color indexed="64"/>
      </bottom>
      <diagonal/>
    </border>
    <border>
      <left style="thick">
        <color auto="1"/>
      </left>
      <right/>
      <top style="thin">
        <color indexed="64"/>
      </top>
      <bottom style="thin">
        <color indexed="64"/>
      </bottom>
      <diagonal/>
    </border>
    <border>
      <left style="thick">
        <color auto="1"/>
      </left>
      <right/>
      <top style="thin">
        <color indexed="64"/>
      </top>
      <bottom style="thick">
        <color auto="1"/>
      </bottom>
      <diagonal/>
    </border>
    <border>
      <left style="thick">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style="thick">
        <color auto="1"/>
      </left>
      <right style="thick">
        <color auto="1"/>
      </right>
      <top style="double">
        <color auto="1"/>
      </top>
      <bottom style="thick">
        <color auto="1"/>
      </bottom>
      <diagonal/>
    </border>
    <border>
      <left style="thick">
        <color auto="1"/>
      </left>
      <right style="double">
        <color auto="1"/>
      </right>
      <top style="thick">
        <color auto="1"/>
      </top>
      <bottom style="thin">
        <color auto="1"/>
      </bottom>
      <diagonal/>
    </border>
    <border>
      <left style="double">
        <color auto="1"/>
      </left>
      <right style="thick">
        <color auto="1"/>
      </right>
      <top style="thick">
        <color auto="1"/>
      </top>
      <bottom style="thin">
        <color auto="1"/>
      </bottom>
      <diagonal/>
    </border>
    <border>
      <left style="thick">
        <color auto="1"/>
      </left>
      <right style="double">
        <color auto="1"/>
      </right>
      <top style="thin">
        <color auto="1"/>
      </top>
      <bottom style="thin">
        <color auto="1"/>
      </bottom>
      <diagonal/>
    </border>
    <border>
      <left style="double">
        <color auto="1"/>
      </left>
      <right style="thick">
        <color auto="1"/>
      </right>
      <top style="thin">
        <color auto="1"/>
      </top>
      <bottom style="thin">
        <color auto="1"/>
      </bottom>
      <diagonal/>
    </border>
    <border>
      <left style="thick">
        <color auto="1"/>
      </left>
      <right style="double">
        <color auto="1"/>
      </right>
      <top style="thin">
        <color auto="1"/>
      </top>
      <bottom style="thick">
        <color auto="1"/>
      </bottom>
      <diagonal/>
    </border>
    <border>
      <left style="double">
        <color auto="1"/>
      </left>
      <right style="thick">
        <color auto="1"/>
      </right>
      <top style="thin">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style="thick">
        <color indexed="64"/>
      </right>
      <top style="thin">
        <color indexed="64"/>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indexed="64"/>
      </left>
      <right style="thick">
        <color indexed="64"/>
      </right>
      <top style="thin">
        <color indexed="64"/>
      </top>
      <bottom style="double">
        <color auto="1"/>
      </bottom>
      <diagonal/>
    </border>
    <border>
      <left style="thick">
        <color auto="1"/>
      </left>
      <right style="thick">
        <color auto="1"/>
      </right>
      <top style="thin">
        <color auto="1"/>
      </top>
      <bottom/>
      <diagonal/>
    </border>
    <border>
      <left/>
      <right style="thin">
        <color auto="1"/>
      </right>
      <top style="thin">
        <color auto="1"/>
      </top>
      <bottom style="thick">
        <color auto="1"/>
      </bottom>
      <diagonal/>
    </border>
    <border>
      <left style="thin">
        <color auto="1"/>
      </left>
      <right/>
      <top style="thin">
        <color auto="1"/>
      </top>
      <bottom style="thick">
        <color auto="1"/>
      </bottom>
      <diagonal/>
    </border>
    <border>
      <left style="double">
        <color auto="1"/>
      </left>
      <right style="thick">
        <color auto="1"/>
      </right>
      <top style="double">
        <color auto="1"/>
      </top>
      <bottom style="thin">
        <color auto="1"/>
      </bottom>
      <diagonal/>
    </border>
    <border>
      <left/>
      <right style="thin">
        <color auto="1"/>
      </right>
      <top style="thick">
        <color auto="1"/>
      </top>
      <bottom/>
      <diagonal/>
    </border>
    <border>
      <left style="double">
        <color auto="1"/>
      </left>
      <right style="thick">
        <color auto="1"/>
      </right>
      <top style="thick">
        <color auto="1"/>
      </top>
      <bottom/>
      <diagonal/>
    </border>
    <border>
      <left style="double">
        <color auto="1"/>
      </left>
      <right style="thin">
        <color indexed="64"/>
      </right>
      <top style="double">
        <color auto="1"/>
      </top>
      <bottom style="thin">
        <color auto="1"/>
      </bottom>
      <diagonal/>
    </border>
    <border>
      <left style="thick">
        <color auto="1"/>
      </left>
      <right style="double">
        <color auto="1"/>
      </right>
      <top/>
      <bottom style="thin">
        <color auto="1"/>
      </bottom>
      <diagonal/>
    </border>
    <border>
      <left style="thick">
        <color auto="1"/>
      </left>
      <right style="double">
        <color auto="1"/>
      </right>
      <top style="thick">
        <color auto="1"/>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style="thin">
        <color auto="1"/>
      </left>
      <right/>
      <top/>
      <bottom style="double">
        <color auto="1"/>
      </bottom>
      <diagonal/>
    </border>
    <border>
      <left style="thin">
        <color auto="1"/>
      </left>
      <right style="thin">
        <color auto="1"/>
      </right>
      <top style="thin">
        <color auto="1"/>
      </top>
      <bottom/>
      <diagonal/>
    </border>
    <border>
      <left/>
      <right style="double">
        <color rgb="FF000000"/>
      </right>
      <top/>
      <bottom style="thin">
        <color rgb="FF000000"/>
      </bottom>
      <diagonal/>
    </border>
    <border>
      <left/>
      <right style="double">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right style="double">
        <color rgb="FF000000"/>
      </right>
      <top/>
      <bottom style="double">
        <color rgb="FF000000"/>
      </bottom>
      <diagonal/>
    </border>
    <border>
      <left/>
      <right/>
      <top/>
      <bottom style="double">
        <color rgb="FF000000"/>
      </bottom>
      <diagonal/>
    </border>
    <border>
      <left/>
      <right style="double">
        <color rgb="FF000000"/>
      </right>
      <top style="thin">
        <color rgb="FF000000"/>
      </top>
      <bottom/>
      <diagonal/>
    </border>
    <border>
      <left/>
      <right/>
      <top style="thin">
        <color rgb="FF000000"/>
      </top>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indexed="64"/>
      </left>
      <right style="double">
        <color indexed="64"/>
      </right>
      <top style="double">
        <color auto="1"/>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thick">
        <color auto="1"/>
      </bottom>
      <diagonal/>
    </border>
    <border>
      <left style="thick">
        <color auto="1"/>
      </left>
      <right style="thin">
        <color auto="1"/>
      </right>
      <top style="thick">
        <color auto="1"/>
      </top>
      <bottom style="thin">
        <color auto="1"/>
      </bottom>
      <diagonal/>
    </border>
    <border>
      <left style="thick">
        <color auto="1"/>
      </left>
      <right style="thick">
        <color auto="1"/>
      </right>
      <top style="thick">
        <color auto="1"/>
      </top>
      <bottom/>
      <diagonal/>
    </border>
    <border>
      <left style="double">
        <color auto="1"/>
      </left>
      <right style="thick">
        <color indexed="64"/>
      </right>
      <top style="thick">
        <color auto="1"/>
      </top>
      <bottom style="thick">
        <color indexed="64"/>
      </bottom>
      <diagonal/>
    </border>
    <border>
      <left style="thick">
        <color auto="1"/>
      </left>
      <right style="double">
        <color auto="1"/>
      </right>
      <top style="thick">
        <color auto="1"/>
      </top>
      <bottom style="thick">
        <color auto="1"/>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ck">
        <color indexed="64"/>
      </bottom>
      <diagonal/>
    </border>
    <border>
      <left style="double">
        <color indexed="64"/>
      </left>
      <right style="thin">
        <color indexed="64"/>
      </right>
      <top/>
      <bottom style="thin">
        <color indexed="64"/>
      </bottom>
      <diagonal/>
    </border>
    <border>
      <left style="thick">
        <color auto="1"/>
      </left>
      <right style="thick">
        <color auto="1"/>
      </right>
      <top/>
      <bottom style="thin">
        <color auto="1"/>
      </bottom>
      <diagonal/>
    </border>
    <border>
      <left style="thick">
        <color indexed="64"/>
      </left>
      <right/>
      <top style="thick">
        <color indexed="64"/>
      </top>
      <bottom style="thin">
        <color indexed="64"/>
      </bottom>
      <diagonal/>
    </border>
    <border>
      <left style="double">
        <color auto="1"/>
      </left>
      <right style="thick">
        <color auto="1"/>
      </right>
      <top style="double">
        <color auto="1"/>
      </top>
      <bottom style="thick">
        <color auto="1"/>
      </bottom>
      <diagonal/>
    </border>
    <border>
      <left style="double">
        <color auto="1"/>
      </left>
      <right style="thick">
        <color auto="1"/>
      </right>
      <top style="thin">
        <color auto="1"/>
      </top>
      <bottom/>
      <diagonal/>
    </border>
    <border>
      <left style="double">
        <color auto="1"/>
      </left>
      <right style="thick">
        <color auto="1"/>
      </right>
      <top style="thin">
        <color auto="1"/>
      </top>
      <bottom style="double">
        <color auto="1"/>
      </bottom>
      <diagonal/>
    </border>
    <border>
      <left style="thick">
        <color auto="1"/>
      </left>
      <right style="thick">
        <color auto="1"/>
      </right>
      <top/>
      <bottom style="thick">
        <color auto="1"/>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auto="1"/>
      </left>
      <right style="thick">
        <color auto="1"/>
      </right>
      <top/>
      <bottom/>
      <diagonal/>
    </border>
    <border>
      <left style="double">
        <color auto="1"/>
      </left>
      <right style="thin">
        <color auto="1"/>
      </right>
      <top style="thin">
        <color auto="1"/>
      </top>
      <bottom style="double">
        <color auto="1"/>
      </bottom>
      <diagonal/>
    </border>
    <border>
      <left style="thick">
        <color auto="1"/>
      </left>
      <right style="double">
        <color auto="1"/>
      </right>
      <top style="thick">
        <color auto="1"/>
      </top>
      <bottom/>
      <diagonal/>
    </border>
    <border>
      <left style="thick">
        <color auto="1"/>
      </left>
      <right style="double">
        <color auto="1"/>
      </right>
      <top style="double">
        <color auto="1"/>
      </top>
      <bottom style="thin">
        <color auto="1"/>
      </bottom>
      <diagonal/>
    </border>
    <border>
      <left style="thick">
        <color auto="1"/>
      </left>
      <right/>
      <top style="thin">
        <color indexed="64"/>
      </top>
      <bottom/>
      <diagonal/>
    </border>
    <border>
      <left style="double">
        <color auto="1"/>
      </left>
      <right style="thick">
        <color auto="1"/>
      </right>
      <top style="double">
        <color auto="1"/>
      </top>
      <bottom/>
      <diagonal/>
    </border>
    <border>
      <left style="double">
        <color auto="1"/>
      </left>
      <right style="thick">
        <color auto="1"/>
      </right>
      <top/>
      <bottom style="thick">
        <color auto="1"/>
      </bottom>
      <diagonal/>
    </border>
    <border>
      <left style="thin">
        <color auto="1"/>
      </left>
      <right style="thick">
        <color indexed="64"/>
      </right>
      <top style="thick">
        <color auto="1"/>
      </top>
      <bottom style="double">
        <color auto="1"/>
      </bottom>
      <diagonal/>
    </border>
    <border>
      <left style="thin">
        <color auto="1"/>
      </left>
      <right style="thick">
        <color auto="1"/>
      </right>
      <top style="double">
        <color auto="1"/>
      </top>
      <bottom style="thin">
        <color auto="1"/>
      </bottom>
      <diagonal/>
    </border>
    <border>
      <left style="double">
        <color auto="1"/>
      </left>
      <right style="thin">
        <color auto="1"/>
      </right>
      <top style="thin">
        <color auto="1"/>
      </top>
      <bottom/>
      <diagonal/>
    </border>
    <border>
      <left style="double">
        <color auto="1"/>
      </left>
      <right style="thin">
        <color auto="1"/>
      </right>
      <top style="double">
        <color auto="1"/>
      </top>
      <bottom style="thick">
        <color auto="1"/>
      </bottom>
      <diagonal/>
    </border>
    <border>
      <left style="thin">
        <color auto="1"/>
      </left>
      <right style="thin">
        <color auto="1"/>
      </right>
      <top style="double">
        <color auto="1"/>
      </top>
      <bottom style="thick">
        <color auto="1"/>
      </bottom>
      <diagonal/>
    </border>
    <border>
      <left style="thin">
        <color auto="1"/>
      </left>
      <right style="thick">
        <color auto="1"/>
      </right>
      <top style="double">
        <color auto="1"/>
      </top>
      <bottom style="thick">
        <color auto="1"/>
      </bottom>
      <diagonal/>
    </border>
    <border>
      <left style="double">
        <color auto="1"/>
      </left>
      <right style="thick">
        <color auto="1"/>
      </right>
      <top style="thick">
        <color auto="1"/>
      </top>
      <bottom style="double">
        <color auto="1"/>
      </bottom>
      <diagonal/>
    </border>
    <border>
      <left style="thick">
        <color indexed="64"/>
      </left>
      <right/>
      <top/>
      <bottom style="thin">
        <color indexed="64"/>
      </bottom>
      <diagonal/>
    </border>
    <border>
      <left style="thin">
        <color auto="1"/>
      </left>
      <right style="thick">
        <color auto="1"/>
      </right>
      <top style="thick">
        <color auto="1"/>
      </top>
      <bottom/>
      <diagonal/>
    </border>
    <border>
      <left style="thick">
        <color auto="1"/>
      </left>
      <right style="thin">
        <color indexed="64"/>
      </right>
      <top style="double">
        <color auto="1"/>
      </top>
      <bottom style="thin">
        <color indexed="64"/>
      </bottom>
      <diagonal/>
    </border>
    <border>
      <left style="thick">
        <color auto="1"/>
      </left>
      <right style="thin">
        <color auto="1"/>
      </right>
      <top style="thick">
        <color auto="1"/>
      </top>
      <bottom style="double">
        <color auto="1"/>
      </bottom>
      <diagonal/>
    </border>
    <border>
      <left style="thin">
        <color auto="1"/>
      </left>
      <right style="thin">
        <color auto="1"/>
      </right>
      <top style="thick">
        <color auto="1"/>
      </top>
      <bottom style="double">
        <color auto="1"/>
      </bottom>
      <diagonal/>
    </border>
    <border>
      <left style="thick">
        <color indexed="64"/>
      </left>
      <right style="thin">
        <color auto="1"/>
      </right>
      <top style="thick">
        <color auto="1"/>
      </top>
      <bottom/>
      <diagonal/>
    </border>
    <border>
      <left style="thick">
        <color auto="1"/>
      </left>
      <right style="thin">
        <color auto="1"/>
      </right>
      <top style="double">
        <color auto="1"/>
      </top>
      <bottom style="thick">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s>
  <cellStyleXfs count="3">
    <xf numFmtId="0" fontId="0" fillId="0" borderId="0"/>
    <xf numFmtId="0" fontId="1" fillId="0" borderId="0" applyNumberFormat="0" applyFill="0" applyBorder="0" applyAlignment="0" applyProtection="0"/>
    <xf numFmtId="44" fontId="2" fillId="0" borderId="0" applyFont="0" applyFill="0" applyBorder="0" applyAlignment="0" applyProtection="0"/>
  </cellStyleXfs>
  <cellXfs count="491">
    <xf numFmtId="0" fontId="0" fillId="0" borderId="0" xfId="0"/>
    <xf numFmtId="0" fontId="0" fillId="2" borderId="1" xfId="0" quotePrefix="1" applyFill="1" applyBorder="1" applyAlignment="1">
      <alignment horizontal="center"/>
    </xf>
    <xf numFmtId="0" fontId="0" fillId="0" borderId="0" xfId="0" applyAlignment="1">
      <alignment horizontal="center"/>
    </xf>
    <xf numFmtId="0" fontId="0" fillId="3" borderId="5" xfId="0" applyFill="1" applyBorder="1" applyAlignment="1">
      <alignment horizontal="center"/>
    </xf>
    <xf numFmtId="0" fontId="0" fillId="2" borderId="5" xfId="0" applyFill="1" applyBorder="1" applyAlignment="1">
      <alignment horizontal="center"/>
    </xf>
    <xf numFmtId="0" fontId="1" fillId="0" borderId="0" xfId="1"/>
    <xf numFmtId="0" fontId="0" fillId="4" borderId="17" xfId="0" applyFill="1" applyBorder="1" applyAlignment="1">
      <alignment horizontal="center"/>
    </xf>
    <xf numFmtId="0" fontId="0" fillId="4" borderId="18" xfId="0" applyFill="1" applyBorder="1" applyAlignment="1">
      <alignment horizontal="center"/>
    </xf>
    <xf numFmtId="164" fontId="0" fillId="0" borderId="0" xfId="0" applyNumberFormat="1"/>
    <xf numFmtId="0" fontId="3" fillId="0" borderId="0" xfId="0" applyFont="1"/>
    <xf numFmtId="0" fontId="0" fillId="2" borderId="19" xfId="0" quotePrefix="1" applyFill="1" applyBorder="1" applyAlignment="1">
      <alignment horizontal="center"/>
    </xf>
    <xf numFmtId="164" fontId="0" fillId="3" borderId="2" xfId="0" applyNumberFormat="1" applyFill="1" applyBorder="1" applyAlignment="1">
      <alignment horizontal="center"/>
    </xf>
    <xf numFmtId="164" fontId="0" fillId="3" borderId="14" xfId="0" applyNumberFormat="1" applyFill="1" applyBorder="1" applyAlignment="1">
      <alignment horizontal="center"/>
    </xf>
    <xf numFmtId="164" fontId="0" fillId="3" borderId="15" xfId="0" applyNumberFormat="1" applyFill="1" applyBorder="1" applyAlignment="1">
      <alignment horizontal="center"/>
    </xf>
    <xf numFmtId="164" fontId="0" fillId="3" borderId="16" xfId="0" applyNumberFormat="1" applyFill="1" applyBorder="1" applyAlignment="1">
      <alignment horizontal="center"/>
    </xf>
    <xf numFmtId="15" fontId="0" fillId="4" borderId="22" xfId="0" applyNumberFormat="1" applyFill="1" applyBorder="1" applyAlignment="1">
      <alignment horizontal="center"/>
    </xf>
    <xf numFmtId="15" fontId="0" fillId="4" borderId="23" xfId="0" applyNumberFormat="1" applyFill="1" applyBorder="1" applyAlignment="1">
      <alignment horizontal="center"/>
    </xf>
    <xf numFmtId="164" fontId="0" fillId="7" borderId="20" xfId="0" applyNumberFormat="1" applyFill="1" applyBorder="1"/>
    <xf numFmtId="164" fontId="0" fillId="7" borderId="2" xfId="0" applyNumberFormat="1" applyFill="1" applyBorder="1"/>
    <xf numFmtId="164" fontId="0" fillId="7" borderId="8" xfId="0" applyNumberFormat="1" applyFill="1" applyBorder="1"/>
    <xf numFmtId="164" fontId="0" fillId="7" borderId="10" xfId="0" applyNumberFormat="1" applyFill="1" applyBorder="1"/>
    <xf numFmtId="1" fontId="0" fillId="3" borderId="5" xfId="0" applyNumberFormat="1" applyFill="1" applyBorder="1" applyAlignment="1">
      <alignment horizontal="center"/>
    </xf>
    <xf numFmtId="0" fontId="0" fillId="4" borderId="25" xfId="0" applyFill="1" applyBorder="1" applyAlignment="1">
      <alignment horizontal="center"/>
    </xf>
    <xf numFmtId="164" fontId="0" fillId="3" borderId="20" xfId="0" applyNumberFormat="1" applyFill="1" applyBorder="1" applyAlignment="1">
      <alignment horizontal="center"/>
    </xf>
    <xf numFmtId="164" fontId="0" fillId="3" borderId="24" xfId="0" applyNumberFormat="1" applyFill="1" applyBorder="1" applyAlignment="1">
      <alignment horizontal="center"/>
    </xf>
    <xf numFmtId="0" fontId="0" fillId="2" borderId="3" xfId="0" quotePrefix="1" applyFill="1" applyBorder="1" applyAlignment="1">
      <alignment horizontal="center"/>
    </xf>
    <xf numFmtId="1" fontId="0" fillId="4" borderId="30" xfId="0" applyNumberFormat="1" applyFill="1" applyBorder="1" applyAlignment="1">
      <alignment horizontal="center"/>
    </xf>
    <xf numFmtId="1" fontId="0" fillId="4" borderId="31" xfId="0" applyNumberFormat="1" applyFill="1" applyBorder="1" applyAlignment="1">
      <alignment horizontal="center"/>
    </xf>
    <xf numFmtId="0" fontId="0" fillId="0" borderId="29" xfId="0" applyBorder="1"/>
    <xf numFmtId="0" fontId="0" fillId="0" borderId="32" xfId="0" applyBorder="1"/>
    <xf numFmtId="0" fontId="0" fillId="4" borderId="33" xfId="0" applyFill="1" applyBorder="1" applyAlignment="1">
      <alignment horizontal="center"/>
    </xf>
    <xf numFmtId="15" fontId="0" fillId="4" borderId="35" xfId="0" applyNumberFormat="1" applyFill="1" applyBorder="1" applyAlignment="1">
      <alignment horizontal="center"/>
    </xf>
    <xf numFmtId="0" fontId="0" fillId="0" borderId="34" xfId="0" applyFill="1" applyBorder="1" applyAlignment="1">
      <alignment horizontal="center"/>
    </xf>
    <xf numFmtId="0" fontId="0" fillId="7" borderId="26" xfId="0" applyFill="1" applyBorder="1" applyAlignment="1">
      <alignment horizontal="center"/>
    </xf>
    <xf numFmtId="15" fontId="0" fillId="7" borderId="27" xfId="0" applyNumberFormat="1" applyFill="1" applyBorder="1" applyAlignment="1">
      <alignment horizontal="center"/>
    </xf>
    <xf numFmtId="164" fontId="0" fillId="7" borderId="28" xfId="0" applyNumberFormat="1" applyFill="1" applyBorder="1" applyAlignment="1">
      <alignment horizontal="center"/>
    </xf>
    <xf numFmtId="2" fontId="0" fillId="2" borderId="5" xfId="0" applyNumberFormat="1" applyFill="1" applyBorder="1" applyAlignment="1">
      <alignment horizontal="center"/>
    </xf>
    <xf numFmtId="0" fontId="3" fillId="0" borderId="0" xfId="0" applyFont="1" applyAlignment="1">
      <alignment horizontal="left"/>
    </xf>
    <xf numFmtId="0" fontId="0" fillId="0" borderId="0" xfId="0" applyFont="1"/>
    <xf numFmtId="0" fontId="0" fillId="7" borderId="27" xfId="0" applyFill="1" applyBorder="1" applyAlignment="1">
      <alignment horizontal="center"/>
    </xf>
    <xf numFmtId="167" fontId="0" fillId="0" borderId="0" xfId="0" applyNumberFormat="1" applyFont="1"/>
    <xf numFmtId="15" fontId="0" fillId="0" borderId="0" xfId="0" applyNumberFormat="1"/>
    <xf numFmtId="3" fontId="0" fillId="2" borderId="5" xfId="0" applyNumberFormat="1" applyFill="1" applyBorder="1" applyAlignment="1">
      <alignment horizontal="center"/>
    </xf>
    <xf numFmtId="1" fontId="0" fillId="2" borderId="5" xfId="0" applyNumberFormat="1" applyFill="1" applyBorder="1" applyAlignment="1">
      <alignment horizontal="center"/>
    </xf>
    <xf numFmtId="168" fontId="0" fillId="0" borderId="0" xfId="0" applyNumberFormat="1"/>
    <xf numFmtId="166" fontId="0" fillId="2" borderId="43" xfId="0" applyNumberFormat="1" applyFill="1" applyBorder="1" applyAlignment="1">
      <alignment horizontal="center"/>
    </xf>
    <xf numFmtId="166" fontId="0" fillId="2" borderId="44" xfId="0" applyNumberFormat="1" applyFill="1" applyBorder="1" applyAlignment="1">
      <alignment horizontal="center"/>
    </xf>
    <xf numFmtId="166" fontId="0" fillId="2" borderId="45" xfId="0" applyNumberFormat="1" applyFill="1" applyBorder="1" applyAlignment="1">
      <alignment horizontal="center"/>
    </xf>
    <xf numFmtId="0" fontId="0" fillId="0" borderId="0" xfId="0" applyAlignment="1">
      <alignment vertical="center"/>
    </xf>
    <xf numFmtId="1" fontId="0" fillId="0" borderId="0" xfId="0" applyNumberFormat="1"/>
    <xf numFmtId="167" fontId="0" fillId="0" borderId="0" xfId="0" applyNumberFormat="1"/>
    <xf numFmtId="0" fontId="0" fillId="10" borderId="53" xfId="0" applyFill="1" applyBorder="1"/>
    <xf numFmtId="0" fontId="0" fillId="10" borderId="54" xfId="0" applyFill="1" applyBorder="1"/>
    <xf numFmtId="0" fontId="0" fillId="10" borderId="56" xfId="0" applyFill="1" applyBorder="1"/>
    <xf numFmtId="0" fontId="0" fillId="10" borderId="0" xfId="0" applyFill="1" applyBorder="1"/>
    <xf numFmtId="0" fontId="0" fillId="10" borderId="58" xfId="0" applyFill="1" applyBorder="1"/>
    <xf numFmtId="0" fontId="0" fillId="10" borderId="59" xfId="0" applyFill="1" applyBorder="1"/>
    <xf numFmtId="0" fontId="0" fillId="10" borderId="60" xfId="0" applyFill="1" applyBorder="1"/>
    <xf numFmtId="4" fontId="0" fillId="2" borderId="5" xfId="0" applyNumberFormat="1" applyFill="1" applyBorder="1" applyAlignment="1">
      <alignment horizontal="center"/>
    </xf>
    <xf numFmtId="0" fontId="0" fillId="10" borderId="0" xfId="0" applyFill="1" applyBorder="1" applyAlignment="1">
      <alignment horizontal="left"/>
    </xf>
    <xf numFmtId="0" fontId="3" fillId="10" borderId="0" xfId="0" applyFont="1" applyFill="1" applyBorder="1"/>
    <xf numFmtId="0" fontId="0" fillId="8" borderId="43" xfId="0" applyFill="1" applyBorder="1" applyAlignment="1">
      <alignment horizontal="center"/>
    </xf>
    <xf numFmtId="0" fontId="0" fillId="8" borderId="44" xfId="0" applyFill="1" applyBorder="1" applyAlignment="1">
      <alignment horizontal="center"/>
    </xf>
    <xf numFmtId="0" fontId="0" fillId="8" borderId="45" xfId="0" applyFill="1" applyBorder="1" applyAlignment="1">
      <alignment horizontal="center"/>
    </xf>
    <xf numFmtId="0" fontId="0" fillId="8" borderId="5" xfId="0" applyFill="1" applyBorder="1" applyAlignment="1">
      <alignment horizontal="center"/>
    </xf>
    <xf numFmtId="14" fontId="0" fillId="3" borderId="5" xfId="0" applyNumberFormat="1" applyFill="1" applyBorder="1" applyAlignment="1">
      <alignment horizontal="center"/>
    </xf>
    <xf numFmtId="0" fontId="3" fillId="0" borderId="0" xfId="0" applyFont="1" applyAlignment="1">
      <alignment horizontal="center"/>
    </xf>
    <xf numFmtId="10" fontId="0" fillId="0" borderId="0" xfId="0" applyNumberFormat="1"/>
    <xf numFmtId="9" fontId="0" fillId="0" borderId="0" xfId="0" applyNumberFormat="1"/>
    <xf numFmtId="0" fontId="0" fillId="0" borderId="0" xfId="0" applyAlignment="1">
      <alignment horizontal="right"/>
    </xf>
    <xf numFmtId="164" fontId="0" fillId="3" borderId="44" xfId="0" applyNumberFormat="1" applyFill="1" applyBorder="1"/>
    <xf numFmtId="0" fontId="0" fillId="2" borderId="44" xfId="0" applyFill="1" applyBorder="1"/>
    <xf numFmtId="164" fontId="0" fillId="2" borderId="44" xfId="0" applyNumberFormat="1" applyFill="1" applyBorder="1"/>
    <xf numFmtId="164" fontId="0" fillId="2" borderId="45" xfId="0" applyNumberFormat="1" applyFill="1" applyBorder="1"/>
    <xf numFmtId="0" fontId="8" fillId="0" borderId="0" xfId="0" applyFont="1" applyAlignment="1">
      <alignment vertical="center"/>
    </xf>
    <xf numFmtId="0" fontId="8" fillId="0" borderId="0" xfId="0" applyFont="1" applyAlignment="1">
      <alignment vertical="center" wrapText="1"/>
    </xf>
    <xf numFmtId="0" fontId="9" fillId="0" borderId="0" xfId="0" applyFont="1" applyAlignment="1">
      <alignment wrapText="1"/>
    </xf>
    <xf numFmtId="0" fontId="10" fillId="0" borderId="0" xfId="0" applyFont="1" applyAlignment="1">
      <alignment horizontal="left" vertical="center" wrapText="1"/>
    </xf>
    <xf numFmtId="9" fontId="0" fillId="0" borderId="0" xfId="0" applyNumberFormat="1" applyAlignment="1">
      <alignment horizontal="center"/>
    </xf>
    <xf numFmtId="168" fontId="0" fillId="2" borderId="46" xfId="0" applyNumberFormat="1" applyFill="1" applyBorder="1"/>
    <xf numFmtId="10" fontId="0" fillId="12" borderId="43" xfId="0" applyNumberFormat="1" applyFill="1" applyBorder="1"/>
    <xf numFmtId="0" fontId="0" fillId="12" borderId="44" xfId="0" applyFill="1" applyBorder="1"/>
    <xf numFmtId="168" fontId="0" fillId="12" borderId="44" xfId="0" applyNumberFormat="1" applyFill="1" applyBorder="1"/>
    <xf numFmtId="10" fontId="0" fillId="13" borderId="44" xfId="0" applyNumberFormat="1" applyFill="1" applyBorder="1"/>
    <xf numFmtId="0" fontId="0" fillId="13" borderId="44" xfId="0" applyFill="1" applyBorder="1"/>
    <xf numFmtId="168" fontId="0" fillId="13" borderId="66" xfId="0" applyNumberFormat="1" applyFill="1" applyBorder="1"/>
    <xf numFmtId="8" fontId="0" fillId="0" borderId="0" xfId="0" applyNumberFormat="1"/>
    <xf numFmtId="164" fontId="0" fillId="2" borderId="5" xfId="0" applyNumberFormat="1" applyFill="1" applyBorder="1"/>
    <xf numFmtId="168" fontId="0" fillId="2" borderId="43" xfId="0" applyNumberFormat="1" applyFill="1" applyBorder="1"/>
    <xf numFmtId="168" fontId="0" fillId="2" borderId="45" xfId="0" applyNumberFormat="1" applyFill="1" applyBorder="1"/>
    <xf numFmtId="0" fontId="0" fillId="0" borderId="0" xfId="0" applyAlignment="1">
      <alignment horizontal="left"/>
    </xf>
    <xf numFmtId="0" fontId="0" fillId="3" borderId="43" xfId="0" applyFill="1" applyBorder="1"/>
    <xf numFmtId="10" fontId="0" fillId="14" borderId="44" xfId="0" applyNumberFormat="1" applyFill="1" applyBorder="1"/>
    <xf numFmtId="0" fontId="0" fillId="14" borderId="44" xfId="0" applyFill="1" applyBorder="1"/>
    <xf numFmtId="168" fontId="0" fillId="14" borderId="66" xfId="0" applyNumberFormat="1" applyFill="1" applyBorder="1"/>
    <xf numFmtId="168" fontId="0" fillId="2" borderId="5" xfId="0" applyNumberFormat="1" applyFill="1" applyBorder="1"/>
    <xf numFmtId="0" fontId="1" fillId="0" borderId="0" xfId="1" applyNumberFormat="1"/>
    <xf numFmtId="165" fontId="0" fillId="3" borderId="72" xfId="0" applyNumberFormat="1" applyFill="1" applyBorder="1" applyAlignment="1">
      <alignment horizontal="center"/>
    </xf>
    <xf numFmtId="165" fontId="0" fillId="3" borderId="10" xfId="0" applyNumberFormat="1" applyFill="1" applyBorder="1" applyAlignment="1">
      <alignment horizontal="center"/>
    </xf>
    <xf numFmtId="165" fontId="0" fillId="3" borderId="67" xfId="0" applyNumberFormat="1" applyFill="1" applyBorder="1" applyAlignment="1">
      <alignment horizontal="center"/>
    </xf>
    <xf numFmtId="10" fontId="12" fillId="3" borderId="48" xfId="0" applyNumberFormat="1" applyFont="1" applyFill="1" applyBorder="1" applyAlignment="1">
      <alignment horizontal="center"/>
    </xf>
    <xf numFmtId="164" fontId="12" fillId="3" borderId="52" xfId="0" applyNumberFormat="1" applyFont="1" applyFill="1" applyBorder="1" applyAlignment="1">
      <alignment horizontal="center"/>
    </xf>
    <xf numFmtId="164" fontId="0" fillId="8" borderId="44" xfId="0" applyNumberFormat="1" applyFill="1" applyBorder="1" applyAlignment="1">
      <alignment horizontal="center"/>
    </xf>
    <xf numFmtId="164" fontId="0" fillId="8" borderId="45" xfId="0" applyNumberFormat="1" applyFill="1" applyBorder="1" applyAlignment="1">
      <alignment horizontal="center"/>
    </xf>
    <xf numFmtId="164" fontId="0" fillId="3" borderId="43" xfId="0" applyNumberFormat="1" applyFill="1" applyBorder="1" applyAlignment="1">
      <alignment horizontal="center"/>
    </xf>
    <xf numFmtId="164" fontId="0" fillId="3" borderId="44" xfId="0" applyNumberFormat="1" applyFill="1" applyBorder="1" applyAlignment="1">
      <alignment horizontal="center"/>
    </xf>
    <xf numFmtId="0" fontId="0" fillId="3" borderId="44" xfId="0" applyFill="1" applyBorder="1" applyAlignment="1">
      <alignment horizontal="center"/>
    </xf>
    <xf numFmtId="0" fontId="0" fillId="3" borderId="65" xfId="0" applyFill="1" applyBorder="1" applyAlignment="1">
      <alignment horizontal="center"/>
    </xf>
    <xf numFmtId="164" fontId="7" fillId="9" borderId="46" xfId="0" applyNumberFormat="1" applyFont="1" applyFill="1" applyBorder="1" applyAlignment="1">
      <alignment horizontal="center"/>
    </xf>
    <xf numFmtId="0" fontId="0" fillId="3" borderId="8" xfId="0" applyFill="1" applyBorder="1" applyAlignment="1">
      <alignment horizontal="center"/>
    </xf>
    <xf numFmtId="0" fontId="0" fillId="3" borderId="10" xfId="0" applyFill="1" applyBorder="1" applyAlignment="1">
      <alignment horizontal="center"/>
    </xf>
    <xf numFmtId="0" fontId="0" fillId="3" borderId="12" xfId="0" applyFill="1" applyBorder="1" applyAlignment="1">
      <alignment horizontal="center"/>
    </xf>
    <xf numFmtId="164" fontId="0" fillId="3" borderId="78" xfId="0" applyNumberFormat="1" applyFill="1" applyBorder="1" applyAlignment="1">
      <alignment horizontal="center"/>
    </xf>
    <xf numFmtId="0" fontId="12" fillId="4" borderId="75" xfId="0" applyFont="1" applyFill="1" applyBorder="1" applyAlignment="1">
      <alignment horizontal="center"/>
    </xf>
    <xf numFmtId="0" fontId="12" fillId="4" borderId="76" xfId="0" applyFont="1" applyFill="1" applyBorder="1" applyAlignment="1">
      <alignment horizontal="center"/>
    </xf>
    <xf numFmtId="0" fontId="0" fillId="2" borderId="43" xfId="0" quotePrefix="1" applyFill="1" applyBorder="1"/>
    <xf numFmtId="0" fontId="0" fillId="7" borderId="8" xfId="0" applyFill="1" applyBorder="1" applyAlignment="1">
      <alignment horizontal="center"/>
    </xf>
    <xf numFmtId="0" fontId="0" fillId="7" borderId="10" xfId="0" applyFill="1" applyBorder="1" applyAlignment="1">
      <alignment horizontal="center"/>
    </xf>
    <xf numFmtId="0" fontId="0" fillId="7" borderId="12" xfId="0" applyFill="1" applyBorder="1" applyAlignment="1">
      <alignment horizontal="center"/>
    </xf>
    <xf numFmtId="0" fontId="0" fillId="3" borderId="20" xfId="0" applyFill="1" applyBorder="1" applyAlignment="1">
      <alignment horizontal="center"/>
    </xf>
    <xf numFmtId="0" fontId="0" fillId="3" borderId="2" xfId="0" applyFill="1" applyBorder="1" applyAlignment="1">
      <alignment horizontal="center"/>
    </xf>
    <xf numFmtId="0" fontId="0" fillId="3" borderId="78" xfId="0" applyFill="1" applyBorder="1" applyAlignment="1">
      <alignment horizontal="center"/>
    </xf>
    <xf numFmtId="164" fontId="0" fillId="7" borderId="20" xfId="0" applyNumberFormat="1" applyFill="1" applyBorder="1" applyAlignment="1">
      <alignment horizontal="center"/>
    </xf>
    <xf numFmtId="164" fontId="0" fillId="7" borderId="9" xfId="0" applyNumberFormat="1" applyFill="1" applyBorder="1" applyAlignment="1">
      <alignment horizontal="center"/>
    </xf>
    <xf numFmtId="164" fontId="0" fillId="7" borderId="2" xfId="0" applyNumberFormat="1" applyFill="1" applyBorder="1" applyAlignment="1">
      <alignment horizontal="center"/>
    </xf>
    <xf numFmtId="164" fontId="0" fillId="7" borderId="11" xfId="0" applyNumberFormat="1" applyFill="1" applyBorder="1" applyAlignment="1">
      <alignment horizontal="center"/>
    </xf>
    <xf numFmtId="164" fontId="0" fillId="7" borderId="78" xfId="0" applyNumberFormat="1" applyFill="1" applyBorder="1" applyAlignment="1">
      <alignment horizontal="center"/>
    </xf>
    <xf numFmtId="164" fontId="0" fillId="7" borderId="13" xfId="0" applyNumberFormat="1" applyFill="1" applyBorder="1" applyAlignment="1">
      <alignment horizontal="center"/>
    </xf>
    <xf numFmtId="10" fontId="9" fillId="3" borderId="81" xfId="0" applyNumberFormat="1" applyFont="1" applyFill="1" applyBorder="1" applyAlignment="1">
      <alignment horizontal="center" vertical="center" wrapText="1"/>
    </xf>
    <xf numFmtId="10" fontId="9" fillId="3" borderId="82" xfId="0" applyNumberFormat="1" applyFont="1" applyFill="1" applyBorder="1" applyAlignment="1">
      <alignment horizontal="center" vertical="center" wrapText="1"/>
    </xf>
    <xf numFmtId="10" fontId="9" fillId="3" borderId="86" xfId="0" applyNumberFormat="1" applyFont="1" applyFill="1" applyBorder="1" applyAlignment="1">
      <alignment horizontal="center" vertical="center" wrapText="1"/>
    </xf>
    <xf numFmtId="0" fontId="0" fillId="15" borderId="53" xfId="0" applyFill="1" applyBorder="1"/>
    <xf numFmtId="0" fontId="0" fillId="15" borderId="54" xfId="0" applyFill="1" applyBorder="1"/>
    <xf numFmtId="0" fontId="3" fillId="15" borderId="56" xfId="0" applyFont="1" applyFill="1" applyBorder="1"/>
    <xf numFmtId="0" fontId="0" fillId="15" borderId="0" xfId="0" applyFill="1" applyBorder="1"/>
    <xf numFmtId="0" fontId="0" fillId="15" borderId="56" xfId="0" applyFill="1" applyBorder="1"/>
    <xf numFmtId="0" fontId="0" fillId="15" borderId="0" xfId="0" applyFill="1" applyBorder="1" applyAlignment="1">
      <alignment horizontal="right"/>
    </xf>
    <xf numFmtId="0" fontId="0" fillId="15" borderId="58" xfId="0" applyFill="1" applyBorder="1"/>
    <xf numFmtId="0" fontId="0" fillId="15" borderId="59" xfId="0" applyFill="1" applyBorder="1"/>
    <xf numFmtId="0" fontId="0" fillId="15" borderId="55" xfId="0" applyFill="1" applyBorder="1"/>
    <xf numFmtId="0" fontId="0" fillId="15" borderId="57" xfId="0" applyFill="1" applyBorder="1"/>
    <xf numFmtId="0" fontId="0" fillId="15" borderId="0" xfId="0" applyFill="1" applyBorder="1" applyAlignment="1">
      <alignment horizontal="center"/>
    </xf>
    <xf numFmtId="0" fontId="0" fillId="15" borderId="60" xfId="0" applyFill="1" applyBorder="1"/>
    <xf numFmtId="0" fontId="0" fillId="0" borderId="0" xfId="0" applyFill="1"/>
    <xf numFmtId="0" fontId="11" fillId="0" borderId="0" xfId="0" applyFont="1" applyFill="1" applyBorder="1" applyAlignment="1">
      <alignment horizontal="center" vertical="center" wrapText="1"/>
    </xf>
    <xf numFmtId="10" fontId="9" fillId="0" borderId="0" xfId="0" applyNumberFormat="1" applyFont="1" applyFill="1" applyBorder="1" applyAlignment="1">
      <alignment horizontal="center" vertical="center" wrapText="1"/>
    </xf>
    <xf numFmtId="0" fontId="0" fillId="16" borderId="92" xfId="0" applyFill="1" applyBorder="1" applyAlignment="1">
      <alignment horizontal="center"/>
    </xf>
    <xf numFmtId="0" fontId="0" fillId="16" borderId="87" xfId="0" applyFill="1" applyBorder="1" applyAlignment="1">
      <alignment horizontal="center"/>
    </xf>
    <xf numFmtId="0" fontId="0" fillId="16" borderId="88" xfId="0" applyFill="1" applyBorder="1" applyAlignment="1">
      <alignment horizontal="center"/>
    </xf>
    <xf numFmtId="0" fontId="3" fillId="16" borderId="74" xfId="0" applyFont="1" applyFill="1" applyBorder="1" applyAlignment="1">
      <alignment horizontal="center"/>
    </xf>
    <xf numFmtId="0" fontId="0" fillId="16" borderId="73" xfId="0" applyFill="1" applyBorder="1" applyAlignment="1">
      <alignment horizontal="right"/>
    </xf>
    <xf numFmtId="0" fontId="0" fillId="16" borderId="49" xfId="0" applyFill="1" applyBorder="1" applyAlignment="1">
      <alignment horizontal="right"/>
    </xf>
    <xf numFmtId="0" fontId="0" fillId="16" borderId="51" xfId="0" applyFill="1" applyBorder="1" applyAlignment="1">
      <alignment horizontal="right"/>
    </xf>
    <xf numFmtId="0" fontId="3" fillId="16" borderId="70" xfId="0" applyFont="1" applyFill="1" applyBorder="1" applyAlignment="1">
      <alignment horizontal="center"/>
    </xf>
    <xf numFmtId="0" fontId="3" fillId="16" borderId="36" xfId="0" applyFont="1" applyFill="1" applyBorder="1" applyAlignment="1">
      <alignment horizontal="center"/>
    </xf>
    <xf numFmtId="0" fontId="0" fillId="16" borderId="47" xfId="0" applyFill="1" applyBorder="1" applyAlignment="1">
      <alignment horizontal="right"/>
    </xf>
    <xf numFmtId="0" fontId="11" fillId="16" borderId="83" xfId="0" applyFont="1" applyFill="1" applyBorder="1" applyAlignment="1">
      <alignment horizontal="center" vertical="center" wrapText="1"/>
    </xf>
    <xf numFmtId="0" fontId="9" fillId="16" borderId="79" xfId="0" applyFont="1" applyFill="1" applyBorder="1" applyAlignment="1">
      <alignment horizontal="center" vertical="center" wrapText="1"/>
    </xf>
    <xf numFmtId="0" fontId="9" fillId="16" borderId="80" xfId="0" applyFont="1" applyFill="1" applyBorder="1" applyAlignment="1">
      <alignment horizontal="center" vertical="center" wrapText="1"/>
    </xf>
    <xf numFmtId="0" fontId="9" fillId="16" borderId="85" xfId="0" applyFont="1" applyFill="1" applyBorder="1" applyAlignment="1">
      <alignment horizontal="center" vertical="center" wrapText="1"/>
    </xf>
    <xf numFmtId="0" fontId="11" fillId="16" borderId="84" xfId="0" applyFont="1" applyFill="1" applyBorder="1" applyAlignment="1">
      <alignment horizontal="center" vertical="center" wrapText="1"/>
    </xf>
    <xf numFmtId="10" fontId="9" fillId="3" borderId="41" xfId="0" applyNumberFormat="1" applyFont="1" applyFill="1" applyBorder="1" applyAlignment="1">
      <alignment horizontal="center" vertical="center" wrapText="1"/>
    </xf>
    <xf numFmtId="10" fontId="9" fillId="3" borderId="42" xfId="0" applyNumberFormat="1" applyFont="1" applyFill="1" applyBorder="1" applyAlignment="1">
      <alignment horizontal="center" vertical="center" wrapText="1"/>
    </xf>
    <xf numFmtId="164" fontId="0" fillId="7" borderId="4" xfId="0" applyNumberFormat="1" applyFill="1" applyBorder="1"/>
    <xf numFmtId="10" fontId="0" fillId="0" borderId="0" xfId="0" applyNumberFormat="1" applyFill="1"/>
    <xf numFmtId="169" fontId="0" fillId="0" borderId="0" xfId="0" applyNumberFormat="1"/>
    <xf numFmtId="0" fontId="3" fillId="5" borderId="36" xfId="0" applyFont="1" applyFill="1" applyBorder="1" applyAlignment="1">
      <alignment horizontal="center"/>
    </xf>
    <xf numFmtId="164" fontId="0" fillId="5" borderId="37" xfId="0" applyNumberFormat="1" applyFill="1" applyBorder="1"/>
    <xf numFmtId="164" fontId="0" fillId="5" borderId="2" xfId="0" applyNumberFormat="1" applyFill="1" applyBorder="1"/>
    <xf numFmtId="164" fontId="0" fillId="5" borderId="4" xfId="0" applyNumberFormat="1" applyFill="1" applyBorder="1"/>
    <xf numFmtId="164" fontId="0" fillId="7" borderId="6" xfId="0" applyNumberFormat="1" applyFill="1" applyBorder="1"/>
    <xf numFmtId="164" fontId="0" fillId="7" borderId="7" xfId="0" applyNumberFormat="1" applyFill="1" applyBorder="1"/>
    <xf numFmtId="164" fontId="0" fillId="7" borderId="50" xfId="0" applyNumberFormat="1" applyFill="1" applyBorder="1"/>
    <xf numFmtId="164" fontId="0" fillId="7" borderId="52" xfId="0" applyNumberFormat="1" applyFill="1" applyBorder="1"/>
    <xf numFmtId="0" fontId="0" fillId="16" borderId="95" xfId="0" applyFill="1" applyBorder="1" applyAlignment="1">
      <alignment horizontal="right"/>
    </xf>
    <xf numFmtId="164" fontId="12" fillId="3" borderId="94" xfId="0" applyNumberFormat="1" applyFont="1" applyFill="1" applyBorder="1" applyAlignment="1">
      <alignment horizontal="center"/>
    </xf>
    <xf numFmtId="164" fontId="0" fillId="7" borderId="89" xfId="0" applyNumberFormat="1" applyFill="1" applyBorder="1"/>
    <xf numFmtId="164" fontId="0" fillId="7" borderId="21" xfId="0" applyNumberFormat="1" applyFill="1" applyBorder="1"/>
    <xf numFmtId="164" fontId="0" fillId="7" borderId="90" xfId="0" applyNumberFormat="1" applyFill="1" applyBorder="1"/>
    <xf numFmtId="164" fontId="0" fillId="7" borderId="91" xfId="0" applyNumberFormat="1" applyFill="1" applyBorder="1"/>
    <xf numFmtId="164" fontId="0" fillId="7" borderId="67" xfId="0" applyNumberFormat="1" applyFill="1" applyBorder="1"/>
    <xf numFmtId="10" fontId="0" fillId="3" borderId="43" xfId="0" applyNumberFormat="1" applyFill="1" applyBorder="1"/>
    <xf numFmtId="0" fontId="0" fillId="3" borderId="44" xfId="0" applyFill="1" applyBorder="1"/>
    <xf numFmtId="168" fontId="0" fillId="7" borderId="44" xfId="0" applyNumberFormat="1" applyFill="1" applyBorder="1"/>
    <xf numFmtId="168" fontId="0" fillId="7" borderId="45" xfId="0" applyNumberFormat="1" applyFill="1" applyBorder="1"/>
    <xf numFmtId="10" fontId="0" fillId="10" borderId="43" xfId="0" applyNumberFormat="1" applyFill="1" applyBorder="1"/>
    <xf numFmtId="0" fontId="0" fillId="10" borderId="44" xfId="0" applyFill="1" applyBorder="1"/>
    <xf numFmtId="168" fontId="0" fillId="3" borderId="93" xfId="0" applyNumberFormat="1" applyFill="1" applyBorder="1"/>
    <xf numFmtId="168" fontId="0" fillId="7" borderId="43" xfId="0" applyNumberFormat="1" applyFill="1" applyBorder="1"/>
    <xf numFmtId="0" fontId="12" fillId="4" borderId="77" xfId="0" applyFont="1" applyFill="1" applyBorder="1" applyAlignment="1">
      <alignment horizontal="left"/>
    </xf>
    <xf numFmtId="164" fontId="4" fillId="2" borderId="5" xfId="0" applyNumberFormat="1" applyFont="1" applyFill="1" applyBorder="1" applyAlignment="1">
      <alignment horizontal="center" vertical="center"/>
    </xf>
    <xf numFmtId="10" fontId="0" fillId="2" borderId="5" xfId="0" applyNumberFormat="1" applyFont="1" applyFill="1" applyBorder="1" applyAlignment="1">
      <alignment horizontal="center"/>
    </xf>
    <xf numFmtId="164" fontId="14" fillId="9" borderId="5" xfId="0" applyNumberFormat="1" applyFont="1" applyFill="1" applyBorder="1" applyAlignment="1">
      <alignment horizontal="center"/>
    </xf>
    <xf numFmtId="164" fontId="15" fillId="2" borderId="5" xfId="0" applyNumberFormat="1" applyFont="1" applyFill="1" applyBorder="1" applyAlignment="1">
      <alignment horizontal="center" vertical="center"/>
    </xf>
    <xf numFmtId="0" fontId="5" fillId="12" borderId="96" xfId="0" applyFont="1" applyFill="1" applyBorder="1"/>
    <xf numFmtId="0" fontId="5" fillId="12" borderId="97" xfId="0" applyFont="1" applyFill="1" applyBorder="1"/>
    <xf numFmtId="0" fontId="5" fillId="12" borderId="98" xfId="0" applyFont="1" applyFill="1" applyBorder="1"/>
    <xf numFmtId="1" fontId="0" fillId="15" borderId="5" xfId="0" applyNumberFormat="1" applyFont="1" applyFill="1" applyBorder="1" applyAlignment="1">
      <alignment horizontal="center"/>
    </xf>
    <xf numFmtId="169" fontId="0" fillId="15" borderId="5" xfId="0" applyNumberFormat="1" applyFont="1" applyFill="1" applyBorder="1" applyAlignment="1">
      <alignment horizontal="center"/>
    </xf>
    <xf numFmtId="164" fontId="3" fillId="15" borderId="5" xfId="0" applyNumberFormat="1" applyFont="1" applyFill="1" applyBorder="1" applyAlignment="1">
      <alignment horizontal="center"/>
    </xf>
    <xf numFmtId="14" fontId="12" fillId="11" borderId="5" xfId="0" applyNumberFormat="1" applyFont="1" applyFill="1" applyBorder="1" applyAlignment="1">
      <alignment horizontal="center"/>
    </xf>
    <xf numFmtId="166" fontId="0" fillId="2" borderId="9" xfId="0" applyNumberFormat="1" applyFill="1" applyBorder="1" applyAlignment="1">
      <alignment horizontal="center"/>
    </xf>
    <xf numFmtId="166" fontId="0" fillId="2" borderId="11" xfId="0" applyNumberFormat="1" applyFill="1" applyBorder="1" applyAlignment="1">
      <alignment horizontal="center"/>
    </xf>
    <xf numFmtId="166" fontId="0" fillId="2" borderId="68" xfId="0" applyNumberFormat="1" applyFill="1" applyBorder="1" applyAlignment="1">
      <alignment horizontal="center"/>
    </xf>
    <xf numFmtId="164" fontId="0" fillId="2" borderId="100" xfId="0" applyNumberFormat="1" applyFill="1" applyBorder="1" applyAlignment="1">
      <alignment horizontal="center"/>
    </xf>
    <xf numFmtId="164" fontId="0" fillId="2" borderId="101" xfId="0" applyNumberFormat="1" applyFill="1" applyBorder="1" applyAlignment="1">
      <alignment horizontal="center"/>
    </xf>
    <xf numFmtId="164" fontId="0" fillId="8" borderId="102" xfId="0" applyNumberFormat="1" applyFill="1" applyBorder="1" applyAlignment="1">
      <alignment horizontal="center"/>
    </xf>
    <xf numFmtId="0" fontId="0" fillId="6" borderId="40" xfId="0" quotePrefix="1" applyFont="1" applyFill="1" applyBorder="1" applyAlignment="1">
      <alignment horizontal="center"/>
    </xf>
    <xf numFmtId="166" fontId="0" fillId="6" borderId="41" xfId="0" applyNumberFormat="1" applyFont="1" applyFill="1" applyBorder="1" applyAlignment="1">
      <alignment horizontal="center"/>
    </xf>
    <xf numFmtId="0" fontId="0" fillId="6" borderId="42" xfId="0" applyFont="1" applyFill="1" applyBorder="1" applyAlignment="1">
      <alignment horizontal="center"/>
    </xf>
    <xf numFmtId="0" fontId="0" fillId="6" borderId="41" xfId="0" applyFont="1" applyFill="1" applyBorder="1" applyAlignment="1">
      <alignment horizontal="center"/>
    </xf>
    <xf numFmtId="16" fontId="0" fillId="6" borderId="41" xfId="0" applyNumberFormat="1" applyFont="1" applyFill="1" applyBorder="1" applyAlignment="1">
      <alignment horizontal="center"/>
    </xf>
    <xf numFmtId="164" fontId="0" fillId="2" borderId="20" xfId="0" applyNumberFormat="1" applyFill="1" applyBorder="1" applyAlignment="1">
      <alignment horizontal="center"/>
    </xf>
    <xf numFmtId="164" fontId="0" fillId="2" borderId="21" xfId="0" applyNumberFormat="1" applyFill="1" applyBorder="1" applyAlignment="1">
      <alignment horizontal="center"/>
    </xf>
    <xf numFmtId="164" fontId="0" fillId="2" borderId="99" xfId="0" applyNumberFormat="1" applyFill="1" applyBorder="1" applyAlignment="1">
      <alignment horizontal="center"/>
    </xf>
    <xf numFmtId="164" fontId="0" fillId="2" borderId="2" xfId="0" applyNumberFormat="1" applyFill="1" applyBorder="1" applyAlignment="1">
      <alignment horizontal="center"/>
    </xf>
    <xf numFmtId="164" fontId="0" fillId="2" borderId="6" xfId="0" applyNumberFormat="1" applyFill="1" applyBorder="1" applyAlignment="1">
      <alignment horizontal="center"/>
    </xf>
    <xf numFmtId="164" fontId="0" fillId="2" borderId="4" xfId="0" applyNumberFormat="1" applyFill="1" applyBorder="1" applyAlignment="1">
      <alignment horizontal="center"/>
    </xf>
    <xf numFmtId="164" fontId="0" fillId="2" borderId="61" xfId="0" applyNumberFormat="1" applyFill="1" applyBorder="1" applyAlignment="1">
      <alignment horizontal="center"/>
    </xf>
    <xf numFmtId="164" fontId="3" fillId="2" borderId="46" xfId="0" applyNumberFormat="1" applyFont="1" applyFill="1" applyBorder="1" applyAlignment="1">
      <alignment horizontal="center"/>
    </xf>
    <xf numFmtId="170" fontId="0" fillId="0" borderId="0" xfId="0" applyNumberFormat="1"/>
    <xf numFmtId="0" fontId="3" fillId="17" borderId="1" xfId="0" applyFont="1" applyFill="1" applyBorder="1" applyAlignment="1">
      <alignment horizontal="left"/>
    </xf>
    <xf numFmtId="0" fontId="3" fillId="18" borderId="1" xfId="0" applyFont="1" applyFill="1" applyBorder="1" applyAlignment="1">
      <alignment horizontal="left"/>
    </xf>
    <xf numFmtId="0" fontId="3" fillId="19" borderId="1" xfId="0" applyFont="1" applyFill="1" applyBorder="1" applyAlignment="1">
      <alignment horizontal="left"/>
    </xf>
    <xf numFmtId="0" fontId="0" fillId="20" borderId="54" xfId="0" applyFill="1" applyBorder="1"/>
    <xf numFmtId="0" fontId="0" fillId="20" borderId="55" xfId="0" applyFill="1" applyBorder="1"/>
    <xf numFmtId="0" fontId="0" fillId="20" borderId="0" xfId="0" applyFill="1" applyBorder="1"/>
    <xf numFmtId="164" fontId="0" fillId="20" borderId="0" xfId="0" applyNumberFormat="1" applyFill="1" applyBorder="1"/>
    <xf numFmtId="0" fontId="0" fillId="20" borderId="57" xfId="0" applyFill="1" applyBorder="1"/>
    <xf numFmtId="164" fontId="0" fillId="20" borderId="0" xfId="0" quotePrefix="1" applyNumberFormat="1" applyFill="1" applyBorder="1"/>
    <xf numFmtId="0" fontId="3" fillId="20" borderId="0" xfId="0" applyFont="1" applyFill="1" applyBorder="1"/>
    <xf numFmtId="0" fontId="0" fillId="20" borderId="59" xfId="0" applyFill="1" applyBorder="1"/>
    <xf numFmtId="0" fontId="0" fillId="20" borderId="60" xfId="0" applyFill="1" applyBorder="1"/>
    <xf numFmtId="0" fontId="0" fillId="20" borderId="53" xfId="0" applyFill="1" applyBorder="1"/>
    <xf numFmtId="167" fontId="0" fillId="20" borderId="56" xfId="0" applyNumberFormat="1" applyFill="1" applyBorder="1"/>
    <xf numFmtId="0" fontId="1" fillId="20" borderId="0" xfId="1" applyFill="1" applyBorder="1"/>
    <xf numFmtId="0" fontId="1" fillId="20" borderId="56" xfId="1" applyNumberFormat="1" applyFill="1" applyBorder="1"/>
    <xf numFmtId="2" fontId="0" fillId="20" borderId="0" xfId="0" applyNumberFormat="1" applyFill="1" applyBorder="1"/>
    <xf numFmtId="0" fontId="0" fillId="20" borderId="56" xfId="0" applyFill="1" applyBorder="1"/>
    <xf numFmtId="167" fontId="0" fillId="20" borderId="0" xfId="0" applyNumberFormat="1" applyFont="1" applyFill="1" applyBorder="1"/>
    <xf numFmtId="0" fontId="3" fillId="20" borderId="0" xfId="0" applyFont="1" applyFill="1" applyBorder="1" applyAlignment="1">
      <alignment horizontal="center"/>
    </xf>
    <xf numFmtId="0" fontId="3" fillId="20" borderId="0" xfId="0" applyFont="1" applyFill="1" applyBorder="1" applyAlignment="1">
      <alignment horizontal="left"/>
    </xf>
    <xf numFmtId="0" fontId="3" fillId="20" borderId="0" xfId="0" applyFont="1" applyFill="1" applyBorder="1" applyAlignment="1">
      <alignment horizontal="right"/>
    </xf>
    <xf numFmtId="1" fontId="0" fillId="20" borderId="0" xfId="0" applyNumberFormat="1" applyFill="1" applyBorder="1"/>
    <xf numFmtId="0" fontId="15" fillId="20" borderId="0" xfId="0" applyFont="1" applyFill="1" applyBorder="1" applyAlignment="1">
      <alignment horizontal="left" vertical="center"/>
    </xf>
    <xf numFmtId="14" fontId="0" fillId="20" borderId="0" xfId="0" applyNumberFormat="1" applyFill="1" applyBorder="1"/>
    <xf numFmtId="0" fontId="4" fillId="20" borderId="0" xfId="0" applyFont="1" applyFill="1" applyBorder="1" applyAlignment="1">
      <alignment horizontal="left" vertical="center"/>
    </xf>
    <xf numFmtId="0" fontId="0" fillId="20" borderId="0" xfId="0" applyFill="1" applyBorder="1" applyAlignment="1">
      <alignment vertical="center"/>
    </xf>
    <xf numFmtId="0" fontId="0" fillId="20" borderId="58" xfId="0" applyFill="1" applyBorder="1"/>
    <xf numFmtId="0" fontId="0" fillId="20" borderId="0" xfId="0" applyFont="1" applyFill="1" applyBorder="1"/>
    <xf numFmtId="0" fontId="0" fillId="20" borderId="0" xfId="0" applyFill="1" applyBorder="1" applyAlignment="1">
      <alignment horizontal="center"/>
    </xf>
    <xf numFmtId="1" fontId="3" fillId="20" borderId="0" xfId="0" applyNumberFormat="1" applyFont="1" applyFill="1" applyBorder="1" applyAlignment="1">
      <alignment horizontal="center"/>
    </xf>
    <xf numFmtId="166" fontId="5" fillId="20" borderId="0" xfId="0" applyNumberFormat="1" applyFont="1" applyFill="1" applyBorder="1"/>
    <xf numFmtId="4" fontId="0" fillId="20" borderId="0" xfId="0" applyNumberFormat="1" applyFill="1" applyBorder="1"/>
    <xf numFmtId="0" fontId="0" fillId="0" borderId="0" xfId="0"/>
    <xf numFmtId="0" fontId="0" fillId="0" borderId="0" xfId="0" applyAlignment="1">
      <alignment horizontal="right"/>
    </xf>
    <xf numFmtId="0" fontId="0" fillId="21" borderId="47" xfId="0" applyFill="1" applyBorder="1" applyAlignment="1">
      <alignment horizontal="right"/>
    </xf>
    <xf numFmtId="0" fontId="0" fillId="21" borderId="49" xfId="0" applyFill="1" applyBorder="1" applyAlignment="1">
      <alignment horizontal="right"/>
    </xf>
    <xf numFmtId="0" fontId="0" fillId="21" borderId="51" xfId="0" applyFill="1" applyBorder="1" applyAlignment="1">
      <alignment horizontal="right"/>
    </xf>
    <xf numFmtId="168" fontId="0" fillId="7" borderId="104" xfId="0" applyNumberFormat="1" applyFill="1" applyBorder="1"/>
    <xf numFmtId="44" fontId="0" fillId="7" borderId="50" xfId="0" applyNumberFormat="1" applyFill="1" applyBorder="1"/>
    <xf numFmtId="10" fontId="0" fillId="3" borderId="106" xfId="0" applyNumberFormat="1" applyFill="1" applyBorder="1"/>
    <xf numFmtId="10" fontId="0" fillId="3" borderId="48" xfId="0" applyNumberFormat="1" applyFill="1" applyBorder="1"/>
    <xf numFmtId="0" fontId="0" fillId="3" borderId="48" xfId="0" applyFill="1" applyBorder="1"/>
    <xf numFmtId="168" fontId="0" fillId="3" borderId="105" xfId="0" applyNumberFormat="1" applyFill="1" applyBorder="1"/>
    <xf numFmtId="169" fontId="0" fillId="3" borderId="105" xfId="0" applyNumberFormat="1" applyFill="1" applyBorder="1"/>
    <xf numFmtId="44" fontId="0" fillId="3" borderId="48" xfId="0" applyNumberFormat="1" applyFill="1" applyBorder="1"/>
    <xf numFmtId="44" fontId="0" fillId="3" borderId="50" xfId="0" applyNumberFormat="1" applyFill="1" applyBorder="1"/>
    <xf numFmtId="44" fontId="0" fillId="7" borderId="52" xfId="0" applyNumberFormat="1" applyFill="1" applyBorder="1"/>
    <xf numFmtId="10" fontId="0" fillId="3" borderId="50" xfId="0" applyNumberFormat="1" applyFill="1" applyBorder="1"/>
    <xf numFmtId="164" fontId="0" fillId="3" borderId="50" xfId="0" applyNumberFormat="1" applyFill="1" applyBorder="1"/>
    <xf numFmtId="10" fontId="0" fillId="3" borderId="105" xfId="0" applyNumberFormat="1" applyFill="1" applyBorder="1" applyAlignment="1">
      <alignment horizontal="right"/>
    </xf>
    <xf numFmtId="164" fontId="0" fillId="7" borderId="104" xfId="0" applyNumberFormat="1" applyFill="1" applyBorder="1" applyAlignment="1">
      <alignment horizontal="right"/>
    </xf>
    <xf numFmtId="0" fontId="0" fillId="3" borderId="1" xfId="0" applyFill="1" applyBorder="1" applyAlignment="1">
      <alignment horizontal="center"/>
    </xf>
    <xf numFmtId="0" fontId="0" fillId="3" borderId="6" xfId="0" applyFill="1" applyBorder="1" applyAlignment="1">
      <alignment horizontal="center"/>
    </xf>
    <xf numFmtId="10" fontId="0" fillId="3" borderId="40" xfId="0" applyNumberFormat="1" applyFill="1" applyBorder="1" applyAlignment="1">
      <alignment horizontal="center"/>
    </xf>
    <xf numFmtId="10" fontId="0" fillId="3" borderId="41" xfId="0" applyNumberFormat="1" applyFill="1" applyBorder="1" applyAlignment="1">
      <alignment horizontal="center"/>
    </xf>
    <xf numFmtId="10" fontId="0" fillId="3" borderId="42" xfId="0" applyNumberFormat="1" applyFill="1" applyBorder="1" applyAlignment="1">
      <alignment horizontal="center"/>
    </xf>
    <xf numFmtId="10" fontId="0" fillId="7" borderId="8" xfId="0" applyNumberFormat="1" applyFill="1" applyBorder="1" applyAlignment="1">
      <alignment horizontal="center"/>
    </xf>
    <xf numFmtId="10" fontId="0" fillId="7" borderId="20" xfId="0" applyNumberFormat="1" applyFill="1" applyBorder="1" applyAlignment="1">
      <alignment horizontal="center"/>
    </xf>
    <xf numFmtId="10" fontId="0" fillId="7" borderId="21" xfId="0" applyNumberFormat="1" applyFill="1" applyBorder="1" applyAlignment="1">
      <alignment horizontal="center"/>
    </xf>
    <xf numFmtId="168" fontId="0" fillId="7" borderId="10" xfId="0" applyNumberFormat="1" applyFill="1" applyBorder="1" applyAlignment="1">
      <alignment horizontal="center"/>
    </xf>
    <xf numFmtId="168" fontId="0" fillId="7" borderId="2" xfId="0" applyNumberFormat="1" applyFill="1" applyBorder="1" applyAlignment="1">
      <alignment horizontal="center"/>
    </xf>
    <xf numFmtId="168" fontId="0" fillId="7" borderId="6" xfId="0" applyNumberFormat="1" applyFill="1" applyBorder="1" applyAlignment="1">
      <alignment horizontal="center"/>
    </xf>
    <xf numFmtId="168" fontId="0" fillId="7" borderId="67" xfId="0" applyNumberFormat="1" applyFill="1" applyBorder="1" applyAlignment="1">
      <alignment horizontal="center"/>
    </xf>
    <xf numFmtId="168" fontId="0" fillId="7" borderId="4" xfId="0" applyNumberFormat="1" applyFill="1" applyBorder="1" applyAlignment="1">
      <alignment horizontal="center"/>
    </xf>
    <xf numFmtId="168" fontId="0" fillId="7" borderId="7" xfId="0" applyNumberFormat="1" applyFill="1" applyBorder="1" applyAlignment="1">
      <alignment horizontal="center"/>
    </xf>
    <xf numFmtId="171" fontId="0" fillId="16" borderId="49" xfId="0" applyNumberFormat="1" applyFill="1" applyBorder="1"/>
    <xf numFmtId="171" fontId="0" fillId="16" borderId="51" xfId="0" applyNumberFormat="1" applyFill="1" applyBorder="1"/>
    <xf numFmtId="0" fontId="0" fillId="3" borderId="92" xfId="0" applyFill="1" applyBorder="1" applyAlignment="1">
      <alignment horizontal="center"/>
    </xf>
    <xf numFmtId="0" fontId="0" fillId="3" borderId="88" xfId="0" applyFill="1" applyBorder="1" applyAlignment="1">
      <alignment horizontal="center"/>
    </xf>
    <xf numFmtId="9" fontId="0" fillId="3" borderId="111" xfId="0" applyNumberFormat="1" applyFill="1" applyBorder="1" applyAlignment="1">
      <alignment horizontal="center"/>
    </xf>
    <xf numFmtId="9" fontId="0" fillId="3" borderId="42" xfId="0" applyNumberFormat="1" applyFill="1" applyBorder="1" applyAlignment="1">
      <alignment horizontal="center"/>
    </xf>
    <xf numFmtId="164" fontId="0" fillId="7" borderId="8" xfId="0" applyNumberFormat="1" applyFill="1" applyBorder="1" applyAlignment="1">
      <alignment horizontal="center"/>
    </xf>
    <xf numFmtId="164" fontId="0" fillId="7" borderId="21" xfId="0" applyNumberFormat="1" applyFill="1" applyBorder="1" applyAlignment="1">
      <alignment horizontal="center"/>
    </xf>
    <xf numFmtId="0" fontId="0" fillId="3" borderId="103" xfId="0" applyFill="1" applyBorder="1" applyAlignment="1">
      <alignment horizontal="center"/>
    </xf>
    <xf numFmtId="42" fontId="0" fillId="3" borderId="48" xfId="0" applyNumberFormat="1" applyFill="1" applyBorder="1" applyAlignment="1">
      <alignment horizontal="center"/>
    </xf>
    <xf numFmtId="0" fontId="0" fillId="3" borderId="38" xfId="0" applyFill="1" applyBorder="1" applyAlignment="1">
      <alignment horizontal="center"/>
    </xf>
    <xf numFmtId="42" fontId="0" fillId="3" borderId="50" xfId="0" applyNumberFormat="1" applyFill="1" applyBorder="1" applyAlignment="1">
      <alignment horizontal="center"/>
    </xf>
    <xf numFmtId="0" fontId="0" fillId="3" borderId="105" xfId="0" applyFill="1" applyBorder="1"/>
    <xf numFmtId="0" fontId="0" fillId="21" borderId="112" xfId="0" applyFill="1" applyBorder="1" applyAlignment="1">
      <alignment horizontal="center"/>
    </xf>
    <xf numFmtId="0" fontId="0" fillId="21" borderId="71" xfId="0" applyFill="1" applyBorder="1" applyAlignment="1">
      <alignment horizontal="center"/>
    </xf>
    <xf numFmtId="0" fontId="0" fillId="21" borderId="47" xfId="0" applyFill="1" applyBorder="1"/>
    <xf numFmtId="0" fontId="0" fillId="21" borderId="48" xfId="0" applyFill="1" applyBorder="1"/>
    <xf numFmtId="0" fontId="0" fillId="3" borderId="113" xfId="0" applyFill="1" applyBorder="1"/>
    <xf numFmtId="10" fontId="0" fillId="3" borderId="69" xfId="0" applyNumberFormat="1" applyFill="1" applyBorder="1" applyAlignment="1">
      <alignment horizontal="center"/>
    </xf>
    <xf numFmtId="0" fontId="0" fillId="3" borderId="49" xfId="0" applyFill="1" applyBorder="1"/>
    <xf numFmtId="2" fontId="0" fillId="3" borderId="50" xfId="0" applyNumberFormat="1" applyFill="1" applyBorder="1"/>
    <xf numFmtId="10" fontId="0" fillId="3" borderId="50" xfId="0" applyNumberFormat="1" applyFill="1" applyBorder="1" applyAlignment="1">
      <alignment horizontal="center"/>
    </xf>
    <xf numFmtId="0" fontId="0" fillId="3" borderId="51" xfId="0" applyFill="1" applyBorder="1"/>
    <xf numFmtId="2" fontId="0" fillId="3" borderId="52" xfId="0" applyNumberFormat="1" applyFill="1" applyBorder="1"/>
    <xf numFmtId="10" fontId="0" fillId="3" borderId="52" xfId="0" applyNumberFormat="1" applyFill="1" applyBorder="1" applyAlignment="1">
      <alignment horizontal="center"/>
    </xf>
    <xf numFmtId="172" fontId="0" fillId="7" borderId="94" xfId="0" applyNumberFormat="1" applyFill="1" applyBorder="1"/>
    <xf numFmtId="0" fontId="0" fillId="21" borderId="95" xfId="0" applyFill="1" applyBorder="1" applyAlignment="1">
      <alignment horizontal="right"/>
    </xf>
    <xf numFmtId="0" fontId="0" fillId="21" borderId="103" xfId="0" applyFill="1" applyBorder="1" applyAlignment="1">
      <alignment horizontal="right"/>
    </xf>
    <xf numFmtId="0" fontId="0" fillId="21" borderId="38" xfId="0" applyFill="1" applyBorder="1" applyAlignment="1">
      <alignment horizontal="right"/>
    </xf>
    <xf numFmtId="0" fontId="0" fillId="21" borderId="39" xfId="0" applyFill="1" applyBorder="1" applyAlignment="1">
      <alignment horizontal="right"/>
    </xf>
    <xf numFmtId="10" fontId="0" fillId="3" borderId="48" xfId="0" applyNumberFormat="1" applyFill="1" applyBorder="1" applyAlignment="1">
      <alignment horizontal="right"/>
    </xf>
    <xf numFmtId="44" fontId="0" fillId="3" borderId="50" xfId="0" applyNumberFormat="1" applyFill="1" applyBorder="1" applyAlignment="1">
      <alignment horizontal="right"/>
    </xf>
    <xf numFmtId="44" fontId="0" fillId="3" borderId="48" xfId="0" applyNumberFormat="1" applyFill="1" applyBorder="1" applyAlignment="1">
      <alignment horizontal="right"/>
    </xf>
    <xf numFmtId="44" fontId="0" fillId="7" borderId="105" xfId="0" applyNumberFormat="1" applyFill="1" applyBorder="1" applyAlignment="1">
      <alignment horizontal="right"/>
    </xf>
    <xf numFmtId="0" fontId="0" fillId="21" borderId="114" xfId="0" applyFill="1" applyBorder="1" applyAlignment="1">
      <alignment horizontal="right"/>
    </xf>
    <xf numFmtId="44" fontId="0" fillId="7" borderId="115" xfId="0" applyNumberFormat="1" applyFill="1" applyBorder="1" applyAlignment="1">
      <alignment horizontal="right"/>
    </xf>
    <xf numFmtId="0" fontId="0" fillId="21" borderId="58" xfId="0" applyFill="1" applyBorder="1" applyAlignment="1">
      <alignment horizontal="right"/>
    </xf>
    <xf numFmtId="44" fontId="0" fillId="7" borderId="116" xfId="0" applyNumberFormat="1" applyFill="1" applyBorder="1" applyAlignment="1">
      <alignment horizontal="right"/>
    </xf>
    <xf numFmtId="0" fontId="0" fillId="0" borderId="63" xfId="0" applyBorder="1"/>
    <xf numFmtId="44" fontId="0" fillId="3" borderId="105" xfId="0" applyNumberFormat="1" applyFill="1" applyBorder="1" applyAlignment="1">
      <alignment horizontal="right"/>
    </xf>
    <xf numFmtId="44" fontId="0" fillId="7" borderId="104" xfId="0" applyNumberFormat="1" applyFill="1" applyBorder="1" applyAlignment="1">
      <alignment horizontal="right"/>
    </xf>
    <xf numFmtId="0" fontId="1" fillId="0" borderId="0" xfId="1" applyFill="1" applyBorder="1" applyAlignment="1">
      <alignment horizontal="right"/>
    </xf>
    <xf numFmtId="0" fontId="0" fillId="0" borderId="60" xfId="0" applyBorder="1"/>
    <xf numFmtId="0" fontId="0" fillId="16" borderId="38" xfId="0" applyFill="1" applyBorder="1" applyAlignment="1">
      <alignment horizontal="right"/>
    </xf>
    <xf numFmtId="3" fontId="0" fillId="3" borderId="72" xfId="0" applyNumberFormat="1" applyFill="1" applyBorder="1"/>
    <xf numFmtId="3" fontId="0" fillId="3" borderId="37" xfId="0" applyNumberFormat="1" applyFill="1" applyBorder="1"/>
    <xf numFmtId="3" fontId="0" fillId="3" borderId="118" xfId="0" applyNumberFormat="1" applyFill="1" applyBorder="1"/>
    <xf numFmtId="3" fontId="0" fillId="3" borderId="99" xfId="0" applyNumberFormat="1" applyFill="1" applyBorder="1"/>
    <xf numFmtId="3" fontId="0" fillId="3" borderId="2" xfId="0" applyNumberFormat="1" applyFill="1" applyBorder="1"/>
    <xf numFmtId="3" fontId="0" fillId="3" borderId="6" xfId="0" applyNumberFormat="1" applyFill="1" applyBorder="1"/>
    <xf numFmtId="0" fontId="0" fillId="3" borderId="99" xfId="0" applyFill="1" applyBorder="1"/>
    <xf numFmtId="0" fontId="0" fillId="3" borderId="2" xfId="0" applyFill="1" applyBorder="1"/>
    <xf numFmtId="0" fontId="0" fillId="3" borderId="6" xfId="0" applyFill="1" applyBorder="1"/>
    <xf numFmtId="0" fontId="0" fillId="3" borderId="119" xfId="0" applyFill="1" applyBorder="1"/>
    <xf numFmtId="0" fontId="0" fillId="3" borderId="78" xfId="0" applyFill="1" applyBorder="1"/>
    <xf numFmtId="0" fontId="0" fillId="3" borderId="61" xfId="0" applyFill="1" applyBorder="1"/>
    <xf numFmtId="0" fontId="0" fillId="16" borderId="39" xfId="0" applyFill="1" applyBorder="1" applyAlignment="1">
      <alignment horizontal="right"/>
    </xf>
    <xf numFmtId="3" fontId="0" fillId="7" borderId="120" xfId="0" applyNumberFormat="1" applyFill="1" applyBorder="1"/>
    <xf numFmtId="3" fontId="0" fillId="7" borderId="121" xfId="0" applyNumberFormat="1" applyFill="1" applyBorder="1"/>
    <xf numFmtId="3" fontId="0" fillId="7" borderId="122" xfId="0" applyNumberFormat="1" applyFill="1" applyBorder="1"/>
    <xf numFmtId="0" fontId="0" fillId="16" borderId="74" xfId="0" applyFill="1" applyBorder="1" applyAlignment="1">
      <alignment horizontal="center"/>
    </xf>
    <xf numFmtId="0" fontId="0" fillId="16" borderId="123" xfId="0" applyFill="1" applyBorder="1" applyAlignment="1">
      <alignment horizontal="center"/>
    </xf>
    <xf numFmtId="0" fontId="0" fillId="16" borderId="70" xfId="0" applyFill="1" applyBorder="1" applyAlignment="1">
      <alignment horizontal="center" vertical="center"/>
    </xf>
    <xf numFmtId="0" fontId="0" fillId="16" borderId="36" xfId="0" applyFill="1" applyBorder="1" applyAlignment="1">
      <alignment horizontal="center" vertical="center"/>
    </xf>
    <xf numFmtId="0" fontId="0" fillId="16" borderId="125" xfId="0" applyFill="1" applyBorder="1" applyAlignment="1">
      <alignment horizontal="center" vertical="center"/>
    </xf>
    <xf numFmtId="0" fontId="0" fillId="16" borderId="70" xfId="0" applyFill="1" applyBorder="1" applyAlignment="1">
      <alignment horizontal="center"/>
    </xf>
    <xf numFmtId="0" fontId="0" fillId="16" borderId="125" xfId="0" applyFill="1" applyBorder="1" applyAlignment="1">
      <alignment horizontal="center"/>
    </xf>
    <xf numFmtId="0" fontId="0" fillId="16" borderId="124" xfId="0" applyFill="1" applyBorder="1" applyAlignment="1">
      <alignment horizontal="right" wrapText="1"/>
    </xf>
    <xf numFmtId="0" fontId="0" fillId="3" borderId="72" xfId="0" applyFill="1" applyBorder="1" applyAlignment="1">
      <alignment horizontal="center" vertical="center"/>
    </xf>
    <xf numFmtId="0" fontId="0" fillId="3" borderId="37" xfId="0" applyFill="1" applyBorder="1" applyAlignment="1">
      <alignment horizontal="center" vertical="center"/>
    </xf>
    <xf numFmtId="0" fontId="0" fillId="3" borderId="118" xfId="0" applyFill="1" applyBorder="1" applyAlignment="1">
      <alignment horizontal="center" vertical="center"/>
    </xf>
    <xf numFmtId="0" fontId="0" fillId="16" borderId="124" xfId="0" applyFill="1" applyBorder="1" applyAlignment="1">
      <alignment horizontal="right"/>
    </xf>
    <xf numFmtId="9" fontId="0" fillId="3" borderId="72" xfId="0" applyNumberFormat="1" applyFill="1" applyBorder="1" applyAlignment="1">
      <alignment horizontal="center"/>
    </xf>
    <xf numFmtId="9" fontId="0" fillId="3" borderId="118" xfId="0" applyNumberFormat="1" applyFill="1" applyBorder="1" applyAlignment="1">
      <alignment horizontal="center"/>
    </xf>
    <xf numFmtId="0" fontId="0" fillId="16" borderId="38" xfId="0" applyFill="1" applyBorder="1" applyAlignment="1">
      <alignment horizontal="right" wrapText="1"/>
    </xf>
    <xf numFmtId="0" fontId="0" fillId="3" borderId="99" xfId="0" applyFill="1" applyBorder="1" applyAlignment="1">
      <alignment horizontal="center" vertical="center"/>
    </xf>
    <xf numFmtId="9" fontId="0" fillId="3" borderId="2" xfId="0" applyNumberFormat="1" applyFill="1" applyBorder="1" applyAlignment="1">
      <alignment horizontal="center" vertical="center"/>
    </xf>
    <xf numFmtId="9" fontId="0" fillId="3" borderId="6" xfId="0" applyNumberFormat="1" applyFill="1" applyBorder="1" applyAlignment="1">
      <alignment horizontal="center" vertical="center"/>
    </xf>
    <xf numFmtId="9" fontId="0" fillId="3" borderId="100" xfId="0" applyNumberFormat="1" applyFill="1" applyBorder="1" applyAlignment="1">
      <alignment horizontal="center"/>
    </xf>
    <xf numFmtId="9" fontId="0" fillId="3" borderId="7" xfId="0" applyNumberFormat="1" applyFill="1" applyBorder="1" applyAlignment="1">
      <alignment horizontal="center"/>
    </xf>
    <xf numFmtId="0" fontId="0" fillId="3" borderId="2" xfId="0" applyFill="1" applyBorder="1" applyAlignment="1">
      <alignment horizontal="center" vertical="center"/>
    </xf>
    <xf numFmtId="0" fontId="0" fillId="3" borderId="6" xfId="0" applyFill="1" applyBorder="1" applyAlignment="1">
      <alignment horizontal="center" vertical="center"/>
    </xf>
    <xf numFmtId="0" fontId="0" fillId="16" borderId="39" xfId="0" applyFill="1" applyBorder="1" applyAlignment="1">
      <alignment horizontal="right" wrapText="1"/>
    </xf>
    <xf numFmtId="10" fontId="0" fillId="3" borderId="100" xfId="0" applyNumberFormat="1" applyFill="1" applyBorder="1" applyAlignment="1">
      <alignment horizontal="center" vertical="center"/>
    </xf>
    <xf numFmtId="10" fontId="0" fillId="3" borderId="4" xfId="0" applyNumberFormat="1" applyFill="1" applyBorder="1" applyAlignment="1">
      <alignment horizontal="center" vertical="center"/>
    </xf>
    <xf numFmtId="10" fontId="0" fillId="3" borderId="7" xfId="0" applyNumberFormat="1" applyFill="1" applyBorder="1" applyAlignment="1">
      <alignment horizontal="center" vertical="center"/>
    </xf>
    <xf numFmtId="0" fontId="2" fillId="0" borderId="0" xfId="0" applyFont="1"/>
    <xf numFmtId="0" fontId="2" fillId="4" borderId="93" xfId="0" applyFont="1" applyFill="1" applyBorder="1" applyAlignment="1">
      <alignment horizontal="center"/>
    </xf>
    <xf numFmtId="0" fontId="2" fillId="0" borderId="60" xfId="0" applyFont="1" applyBorder="1"/>
    <xf numFmtId="0" fontId="2" fillId="4" borderId="70" xfId="0" applyFont="1" applyFill="1" applyBorder="1" applyAlignment="1">
      <alignment horizontal="center"/>
    </xf>
    <xf numFmtId="0" fontId="2" fillId="4" borderId="117" xfId="0" applyFont="1" applyFill="1" applyBorder="1" applyAlignment="1">
      <alignment horizontal="center"/>
    </xf>
    <xf numFmtId="0" fontId="2" fillId="4" borderId="36" xfId="0" applyFont="1" applyFill="1" applyBorder="1" applyAlignment="1">
      <alignment horizontal="center"/>
    </xf>
    <xf numFmtId="0" fontId="2" fillId="4" borderId="125" xfId="0" applyFont="1" applyFill="1" applyBorder="1" applyAlignment="1">
      <alignment horizontal="center"/>
    </xf>
    <xf numFmtId="15" fontId="2" fillId="4" borderId="103" xfId="0" applyNumberFormat="1" applyFont="1" applyFill="1" applyBorder="1"/>
    <xf numFmtId="0" fontId="24" fillId="3" borderId="69" xfId="0" applyFont="1" applyFill="1" applyBorder="1" applyAlignment="1">
      <alignment horizontal="center" vertical="center" wrapText="1"/>
    </xf>
    <xf numFmtId="15" fontId="2" fillId="4" borderId="38" xfId="0" applyNumberFormat="1" applyFont="1" applyFill="1" applyBorder="1"/>
    <xf numFmtId="0" fontId="24" fillId="3" borderId="72" xfId="0" applyFont="1" applyFill="1" applyBorder="1" applyAlignment="1">
      <alignment horizontal="center" vertical="center" wrapText="1"/>
    </xf>
    <xf numFmtId="0" fontId="24" fillId="3" borderId="118" xfId="0" applyFont="1" applyFill="1" applyBorder="1" applyAlignment="1">
      <alignment horizontal="center" vertical="center" wrapText="1"/>
    </xf>
    <xf numFmtId="15" fontId="2" fillId="4" borderId="124" xfId="0" applyNumberFormat="1" applyFont="1" applyFill="1" applyBorder="1"/>
    <xf numFmtId="0" fontId="24" fillId="3" borderId="37" xfId="0" applyFont="1" applyFill="1" applyBorder="1" applyAlignment="1">
      <alignment horizontal="center" vertical="center" wrapText="1"/>
    </xf>
    <xf numFmtId="0" fontId="24" fillId="3" borderId="50" xfId="0" applyFont="1" applyFill="1" applyBorder="1" applyAlignment="1">
      <alignment horizontal="center" vertical="center" wrapText="1"/>
    </xf>
    <xf numFmtId="0" fontId="24" fillId="3" borderId="99" xfId="0" applyFont="1" applyFill="1" applyBorder="1" applyAlignment="1">
      <alignment horizontal="center" vertical="center" wrapText="1"/>
    </xf>
    <xf numFmtId="0" fontId="24" fillId="3" borderId="6" xfId="0" applyFont="1" applyFill="1" applyBorder="1" applyAlignment="1">
      <alignment horizontal="center" vertical="center" wrapText="1"/>
    </xf>
    <xf numFmtId="10" fontId="24" fillId="3" borderId="99" xfId="0" applyNumberFormat="1" applyFont="1" applyFill="1" applyBorder="1" applyAlignment="1">
      <alignment horizontal="center" vertical="center" wrapText="1"/>
    </xf>
    <xf numFmtId="0" fontId="24" fillId="3" borderId="2" xfId="0" applyFont="1" applyFill="1" applyBorder="1" applyAlignment="1">
      <alignment horizontal="center" vertical="center" wrapText="1"/>
    </xf>
    <xf numFmtId="10" fontId="24" fillId="3" borderId="6" xfId="0" applyNumberFormat="1" applyFont="1" applyFill="1" applyBorder="1" applyAlignment="1">
      <alignment horizontal="center" vertical="center" wrapText="1"/>
    </xf>
    <xf numFmtId="15" fontId="2" fillId="4" borderId="39" xfId="0" applyNumberFormat="1" applyFont="1" applyFill="1" applyBorder="1"/>
    <xf numFmtId="0" fontId="24" fillId="3" borderId="52" xfId="0" applyFont="1" applyFill="1" applyBorder="1" applyAlignment="1">
      <alignment horizontal="center" vertical="center" wrapText="1"/>
    </xf>
    <xf numFmtId="0" fontId="24" fillId="3" borderId="100"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24" fillId="3" borderId="4" xfId="0" applyFont="1" applyFill="1" applyBorder="1" applyAlignment="1">
      <alignment horizontal="center" vertical="center" wrapText="1"/>
    </xf>
    <xf numFmtId="0" fontId="20" fillId="0" borderId="0" xfId="0" applyFont="1" applyAlignment="1">
      <alignment horizontal="left" vertical="center" wrapText="1"/>
    </xf>
    <xf numFmtId="0" fontId="21" fillId="0" borderId="0" xfId="0" applyFont="1" applyAlignment="1">
      <alignment horizontal="left" vertical="center" wrapText="1"/>
    </xf>
    <xf numFmtId="0" fontId="3" fillId="16" borderId="125" xfId="0" applyFont="1" applyFill="1" applyBorder="1" applyAlignment="1">
      <alignment horizontal="center"/>
    </xf>
    <xf numFmtId="164" fontId="0" fillId="7" borderId="118" xfId="0" applyNumberFormat="1" applyFill="1" applyBorder="1"/>
    <xf numFmtId="0" fontId="24" fillId="3" borderId="101" xfId="0" applyFont="1" applyFill="1" applyBorder="1" applyAlignment="1">
      <alignment horizontal="center" vertical="center" wrapText="1"/>
    </xf>
    <xf numFmtId="0" fontId="24" fillId="3" borderId="20" xfId="0" applyFont="1" applyFill="1" applyBorder="1" applyAlignment="1">
      <alignment horizontal="center" vertical="center" wrapText="1"/>
    </xf>
    <xf numFmtId="0" fontId="24" fillId="3" borderId="21" xfId="0" applyFont="1" applyFill="1" applyBorder="1" applyAlignment="1">
      <alignment horizontal="center" vertical="center" wrapText="1"/>
    </xf>
    <xf numFmtId="10" fontId="24" fillId="3" borderId="72" xfId="0" applyNumberFormat="1" applyFont="1" applyFill="1" applyBorder="1" applyAlignment="1">
      <alignment horizontal="center" vertical="center" wrapText="1"/>
    </xf>
    <xf numFmtId="10" fontId="24" fillId="3" borderId="37" xfId="0" applyNumberFormat="1" applyFont="1" applyFill="1" applyBorder="1" applyAlignment="1">
      <alignment horizontal="center" vertical="center" wrapText="1"/>
    </xf>
    <xf numFmtId="10" fontId="24" fillId="3" borderId="118" xfId="0" applyNumberFormat="1" applyFont="1" applyFill="1" applyBorder="1" applyAlignment="1">
      <alignment horizontal="center" vertical="center" wrapText="1"/>
    </xf>
    <xf numFmtId="0" fontId="0" fillId="3" borderId="114" xfId="0" applyFill="1" applyBorder="1" applyAlignment="1">
      <alignment horizontal="center"/>
    </xf>
    <xf numFmtId="0" fontId="0" fillId="0" borderId="54" xfId="0" applyBorder="1" applyAlignment="1">
      <alignment horizontal="right"/>
    </xf>
    <xf numFmtId="42" fontId="0" fillId="7" borderId="46" xfId="0" applyNumberFormat="1" applyFill="1" applyBorder="1"/>
    <xf numFmtId="0" fontId="20" fillId="0" borderId="0" xfId="0" applyFont="1" applyAlignment="1">
      <alignment horizontal="left" vertical="center"/>
    </xf>
    <xf numFmtId="0" fontId="21" fillId="0" borderId="0" xfId="0" applyFont="1" applyAlignment="1">
      <alignment horizontal="left" vertical="center"/>
    </xf>
    <xf numFmtId="10" fontId="0" fillId="7" borderId="127" xfId="0" applyNumberFormat="1" applyFill="1" applyBorder="1" applyAlignment="1">
      <alignment horizontal="center"/>
    </xf>
    <xf numFmtId="10" fontId="0" fillId="7" borderId="128" xfId="0" applyNumberFormat="1" applyFill="1" applyBorder="1" applyAlignment="1">
      <alignment horizontal="center"/>
    </xf>
    <xf numFmtId="10" fontId="0" fillId="7" borderId="117" xfId="0" applyNumberFormat="1" applyFill="1" applyBorder="1" applyAlignment="1">
      <alignment horizontal="center"/>
    </xf>
    <xf numFmtId="0" fontId="3" fillId="5" borderId="129" xfId="0" applyFont="1" applyFill="1" applyBorder="1" applyAlignment="1">
      <alignment horizontal="center"/>
    </xf>
    <xf numFmtId="0" fontId="3" fillId="5" borderId="125" xfId="0" applyFont="1" applyFill="1" applyBorder="1" applyAlignment="1">
      <alignment horizontal="center"/>
    </xf>
    <xf numFmtId="164" fontId="0" fillId="5" borderId="126" xfId="0" applyNumberFormat="1" applyFill="1" applyBorder="1"/>
    <xf numFmtId="164" fontId="0" fillId="5" borderId="1" xfId="0" applyNumberFormat="1" applyFill="1" applyBorder="1"/>
    <xf numFmtId="164" fontId="0" fillId="5" borderId="6" xfId="0" applyNumberFormat="1" applyFill="1" applyBorder="1"/>
    <xf numFmtId="164" fontId="0" fillId="5" borderId="3" xfId="0" applyNumberFormat="1" applyFill="1" applyBorder="1"/>
    <xf numFmtId="164" fontId="0" fillId="5" borderId="7" xfId="0" applyNumberFormat="1" applyFill="1" applyBorder="1"/>
    <xf numFmtId="15" fontId="3" fillId="16" borderId="130" xfId="0" applyNumberFormat="1" applyFont="1" applyFill="1" applyBorder="1" applyAlignment="1">
      <alignment horizontal="center"/>
    </xf>
    <xf numFmtId="15" fontId="3" fillId="16" borderId="121" xfId="0" applyNumberFormat="1" applyFont="1" applyFill="1" applyBorder="1" applyAlignment="1">
      <alignment horizontal="center"/>
    </xf>
    <xf numFmtId="15" fontId="3" fillId="16" borderId="122" xfId="0" applyNumberFormat="1" applyFont="1" applyFill="1" applyBorder="1" applyAlignment="1">
      <alignment horizontal="center"/>
    </xf>
    <xf numFmtId="9" fontId="0" fillId="3" borderId="5" xfId="0" applyNumberFormat="1" applyFill="1" applyBorder="1"/>
    <xf numFmtId="0" fontId="5" fillId="3" borderId="5" xfId="0" applyFont="1" applyFill="1" applyBorder="1" applyAlignment="1">
      <alignment horizontal="center"/>
    </xf>
    <xf numFmtId="0" fontId="12" fillId="16" borderId="131" xfId="0" applyFont="1" applyFill="1" applyBorder="1" applyAlignment="1">
      <alignment horizontal="center"/>
    </xf>
    <xf numFmtId="164" fontId="12" fillId="16" borderId="132" xfId="0" applyNumberFormat="1" applyFont="1" applyFill="1" applyBorder="1" applyAlignment="1">
      <alignment horizontal="center"/>
    </xf>
    <xf numFmtId="0" fontId="12" fillId="16" borderId="132" xfId="0" applyFont="1" applyFill="1" applyBorder="1" applyAlignment="1">
      <alignment horizontal="center"/>
    </xf>
    <xf numFmtId="0" fontId="12" fillId="16" borderId="133" xfId="0" applyFont="1" applyFill="1" applyBorder="1" applyAlignment="1">
      <alignment horizontal="center"/>
    </xf>
    <xf numFmtId="0" fontId="12" fillId="16" borderId="20" xfId="0" applyFont="1" applyFill="1" applyBorder="1" applyAlignment="1">
      <alignment horizontal="center"/>
    </xf>
    <xf numFmtId="0" fontId="0" fillId="16" borderId="47" xfId="0" applyFill="1" applyBorder="1"/>
    <xf numFmtId="0" fontId="0" fillId="0" borderId="134" xfId="0" applyBorder="1"/>
    <xf numFmtId="164" fontId="0" fillId="0" borderId="37" xfId="0" applyNumberFormat="1" applyBorder="1"/>
    <xf numFmtId="164" fontId="0" fillId="0" borderId="134" xfId="0" applyNumberFormat="1" applyBorder="1"/>
    <xf numFmtId="8" fontId="0" fillId="0" borderId="37" xfId="0" applyNumberFormat="1" applyBorder="1" applyAlignment="1">
      <alignment horizontal="center"/>
    </xf>
    <xf numFmtId="8" fontId="0" fillId="0" borderId="135" xfId="0" applyNumberFormat="1" applyBorder="1"/>
    <xf numFmtId="0" fontId="0" fillId="16" borderId="49" xfId="0" applyFill="1" applyBorder="1"/>
    <xf numFmtId="0" fontId="0" fillId="0" borderId="10" xfId="0" applyBorder="1"/>
    <xf numFmtId="164" fontId="0" fillId="0" borderId="2" xfId="0" applyNumberFormat="1" applyBorder="1"/>
    <xf numFmtId="164" fontId="0" fillId="0" borderId="10" xfId="0" applyNumberFormat="1" applyBorder="1"/>
    <xf numFmtId="8" fontId="0" fillId="0" borderId="2" xfId="0" applyNumberFormat="1" applyBorder="1" applyAlignment="1">
      <alignment horizontal="center"/>
    </xf>
    <xf numFmtId="8" fontId="0" fillId="0" borderId="11" xfId="0" applyNumberFormat="1" applyBorder="1"/>
    <xf numFmtId="0" fontId="0" fillId="3" borderId="50" xfId="0" applyFill="1" applyBorder="1"/>
    <xf numFmtId="0" fontId="0" fillId="16" borderId="51" xfId="0" applyFill="1" applyBorder="1"/>
    <xf numFmtId="10" fontId="0" fillId="3" borderId="52" xfId="0" applyNumberFormat="1" applyFill="1" applyBorder="1"/>
    <xf numFmtId="0" fontId="0" fillId="0" borderId="12" xfId="0" applyBorder="1"/>
    <xf numFmtId="164" fontId="0" fillId="0" borderId="78" xfId="0" applyNumberFormat="1" applyBorder="1"/>
    <xf numFmtId="164" fontId="0" fillId="0" borderId="12" xfId="0" applyNumberFormat="1" applyBorder="1"/>
    <xf numFmtId="8" fontId="0" fillId="0" borderId="78" xfId="0" applyNumberFormat="1" applyBorder="1" applyAlignment="1">
      <alignment horizontal="center"/>
    </xf>
    <xf numFmtId="8" fontId="0" fillId="0" borderId="13" xfId="0" applyNumberFormat="1" applyBorder="1"/>
    <xf numFmtId="173" fontId="0" fillId="7" borderId="5" xfId="0" applyNumberFormat="1" applyFill="1" applyBorder="1"/>
    <xf numFmtId="164" fontId="0" fillId="7" borderId="48" xfId="0" applyNumberFormat="1" applyFill="1" applyBorder="1"/>
    <xf numFmtId="44" fontId="0" fillId="7" borderId="48" xfId="0" applyNumberFormat="1" applyFill="1" applyBorder="1"/>
    <xf numFmtId="0" fontId="12" fillId="16" borderId="131" xfId="0" applyFont="1" applyFill="1" applyBorder="1" applyAlignment="1">
      <alignment horizontal="left"/>
    </xf>
    <xf numFmtId="164" fontId="0" fillId="12" borderId="37" xfId="0" applyNumberFormat="1" applyFill="1" applyBorder="1"/>
    <xf numFmtId="164" fontId="0" fillId="12" borderId="2" xfId="0" applyNumberFormat="1" applyFill="1" applyBorder="1"/>
    <xf numFmtId="164" fontId="0" fillId="12" borderId="78" xfId="0" applyNumberFormat="1" applyFill="1" applyBorder="1"/>
    <xf numFmtId="8" fontId="0" fillId="12" borderId="2" xfId="0" applyNumberFormat="1" applyFill="1" applyBorder="1"/>
    <xf numFmtId="0" fontId="0" fillId="15" borderId="0" xfId="0" applyFill="1"/>
    <xf numFmtId="174" fontId="0" fillId="2" borderId="5" xfId="0" applyNumberFormat="1" applyFill="1" applyBorder="1" applyAlignment="1">
      <alignment horizontal="center"/>
    </xf>
    <xf numFmtId="0" fontId="6" fillId="11" borderId="62" xfId="0" applyFont="1" applyFill="1" applyBorder="1" applyAlignment="1">
      <alignment horizontal="center"/>
    </xf>
    <xf numFmtId="0" fontId="6" fillId="11" borderId="63" xfId="0" applyFont="1" applyFill="1" applyBorder="1" applyAlignment="1">
      <alignment horizontal="center"/>
    </xf>
    <xf numFmtId="0" fontId="6" fillId="11" borderId="64" xfId="0" applyFont="1" applyFill="1" applyBorder="1" applyAlignment="1">
      <alignment horizontal="center"/>
    </xf>
    <xf numFmtId="0" fontId="5" fillId="6" borderId="53" xfId="0" applyFont="1" applyFill="1" applyBorder="1" applyAlignment="1">
      <alignment horizontal="center"/>
    </xf>
    <xf numFmtId="0" fontId="5" fillId="6" borderId="54" xfId="0" applyFont="1" applyFill="1" applyBorder="1" applyAlignment="1">
      <alignment horizontal="center"/>
    </xf>
    <xf numFmtId="0" fontId="5" fillId="6" borderId="55" xfId="0" applyFont="1" applyFill="1" applyBorder="1" applyAlignment="1">
      <alignment horizontal="center"/>
    </xf>
    <xf numFmtId="0" fontId="17" fillId="20" borderId="0" xfId="0" applyFont="1" applyFill="1" applyBorder="1" applyAlignment="1">
      <alignment horizontal="center" wrapText="1"/>
    </xf>
    <xf numFmtId="0" fontId="17" fillId="20" borderId="59" xfId="0" applyFont="1" applyFill="1" applyBorder="1" applyAlignment="1">
      <alignment horizontal="center" wrapText="1"/>
    </xf>
    <xf numFmtId="0" fontId="0" fillId="16" borderId="103" xfId="0" applyFill="1" applyBorder="1" applyAlignment="1">
      <alignment horizontal="center" wrapText="1"/>
    </xf>
    <xf numFmtId="0" fontId="0" fillId="16" borderId="108" xfId="0" applyFill="1" applyBorder="1" applyAlignment="1">
      <alignment horizontal="center" wrapText="1"/>
    </xf>
    <xf numFmtId="0" fontId="0" fillId="16" borderId="109" xfId="0" applyFill="1" applyBorder="1" applyAlignment="1">
      <alignment horizontal="center" wrapText="1"/>
    </xf>
    <xf numFmtId="0" fontId="0" fillId="16" borderId="88" xfId="0" applyFill="1" applyBorder="1" applyAlignment="1">
      <alignment horizontal="center" vertical="center" wrapText="1"/>
    </xf>
    <xf numFmtId="0" fontId="0" fillId="16" borderId="61" xfId="0" applyFill="1" applyBorder="1" applyAlignment="1">
      <alignment horizontal="center" vertical="center" wrapText="1"/>
    </xf>
    <xf numFmtId="0" fontId="0" fillId="16" borderId="92" xfId="0" applyFill="1" applyBorder="1" applyAlignment="1">
      <alignment horizontal="center" vertical="center"/>
    </xf>
    <xf numFmtId="0" fontId="0" fillId="16" borderId="1" xfId="0" applyFill="1" applyBorder="1" applyAlignment="1">
      <alignment horizontal="center" vertical="center"/>
    </xf>
    <xf numFmtId="0" fontId="0" fillId="16" borderId="87" xfId="0" applyFill="1" applyBorder="1" applyAlignment="1">
      <alignment horizontal="center" vertical="center" wrapText="1"/>
    </xf>
    <xf numFmtId="0" fontId="0" fillId="16" borderId="78" xfId="0" applyFill="1" applyBorder="1" applyAlignment="1">
      <alignment horizontal="center" vertical="center" wrapText="1"/>
    </xf>
    <xf numFmtId="0" fontId="19" fillId="3" borderId="110" xfId="0" applyFont="1" applyFill="1" applyBorder="1" applyAlignment="1">
      <alignment horizontal="center" vertical="center" textRotation="90"/>
    </xf>
    <xf numFmtId="0" fontId="19" fillId="3" borderId="107" xfId="0" applyFont="1" applyFill="1" applyBorder="1" applyAlignment="1">
      <alignment horizontal="center" vertical="center" textRotation="90"/>
    </xf>
    <xf numFmtId="0" fontId="18" fillId="22" borderId="93" xfId="0" applyFont="1" applyFill="1" applyBorder="1" applyAlignment="1">
      <alignment horizontal="center" vertical="center"/>
    </xf>
    <xf numFmtId="0" fontId="18" fillId="22" borderId="107" xfId="0" applyFont="1" applyFill="1" applyBorder="1" applyAlignment="1">
      <alignment horizontal="center" vertical="center"/>
    </xf>
    <xf numFmtId="0" fontId="0" fillId="0" borderId="56" xfId="0" applyBorder="1" applyAlignment="1">
      <alignment horizontal="left" vertical="center" wrapText="1"/>
    </xf>
    <xf numFmtId="0" fontId="0" fillId="0" borderId="58" xfId="0" applyBorder="1" applyAlignment="1">
      <alignment horizontal="left" vertical="center" wrapText="1"/>
    </xf>
    <xf numFmtId="9" fontId="18" fillId="2" borderId="93" xfId="0" applyNumberFormat="1" applyFont="1" applyFill="1" applyBorder="1" applyAlignment="1">
      <alignment horizontal="center" vertical="center"/>
    </xf>
    <xf numFmtId="0" fontId="18" fillId="0" borderId="107" xfId="0" applyFont="1" applyBorder="1" applyAlignment="1">
      <alignment horizontal="center" vertical="center"/>
    </xf>
    <xf numFmtId="9" fontId="18" fillId="23" borderId="93" xfId="0" applyNumberFormat="1" applyFont="1" applyFill="1" applyBorder="1" applyAlignment="1">
      <alignment horizontal="center" vertical="center"/>
    </xf>
    <xf numFmtId="9" fontId="18" fillId="23" borderId="107" xfId="0" applyNumberFormat="1" applyFont="1" applyFill="1" applyBorder="1" applyAlignment="1">
      <alignment horizontal="center" vertical="center"/>
    </xf>
    <xf numFmtId="0" fontId="0" fillId="0" borderId="53" xfId="0" applyBorder="1" applyAlignment="1">
      <alignment horizontal="left" vertical="center" wrapText="1"/>
    </xf>
  </cellXfs>
  <cellStyles count="3">
    <cellStyle name="Lien hypertexte" xfId="1" builtinId="8"/>
    <cellStyle name="Monétaire 2" xfId="2" xr:uid="{4402B29B-A871-404E-AEAA-7760CA4F8B0D}"/>
    <cellStyle name="Normal" xfId="0" builtinId="0"/>
  </cellStyles>
  <dxfs count="29">
    <dxf>
      <numFmt numFmtId="12" formatCode="#,##0.00\ &quot;$&quot;_);[Red]\(#,##0.00\ &quot;$&quot;\)"/>
      <fill>
        <patternFill patternType="solid">
          <fgColor indexed="64"/>
          <bgColor rgb="FFFFFF00"/>
        </patternFill>
      </fill>
      <border diagonalUp="0" diagonalDown="0" outline="0">
        <left style="thin">
          <color auto="1"/>
        </left>
        <right style="thin">
          <color auto="1"/>
        </right>
        <top style="thin">
          <color auto="1"/>
        </top>
        <bottom style="thin">
          <color auto="1"/>
        </bottom>
      </border>
    </dxf>
    <dxf>
      <numFmt numFmtId="12" formatCode="#,##0.00\ &quot;$&quot;_);[Red]\(#,##0.00\ &quot;$&quot;\)"/>
      <border diagonalUp="0" diagonalDown="0" outline="0">
        <left style="thin">
          <color indexed="64"/>
        </left>
        <right style="thin">
          <color indexed="64"/>
        </right>
        <top style="thin">
          <color auto="1"/>
        </top>
        <bottom style="thin">
          <color auto="1"/>
        </bottom>
      </border>
    </dxf>
    <dxf>
      <numFmt numFmtId="164" formatCode="#,##0\ &quot;$&quot;"/>
      <fill>
        <patternFill patternType="solid">
          <fgColor indexed="64"/>
          <bgColor rgb="FFFFFF00"/>
        </patternFill>
      </fill>
      <border diagonalUp="0" diagonalDown="0" outline="0">
        <left style="thin">
          <color auto="1"/>
        </left>
        <right style="thin">
          <color auto="1"/>
        </right>
        <top style="thin">
          <color auto="1"/>
        </top>
        <bottom style="thin">
          <color auto="1"/>
        </bottom>
      </border>
    </dxf>
    <dxf>
      <numFmt numFmtId="12" formatCode="#,##0.00\ &quot;$&quot;_);[Red]\(#,##0.00\ &quot;$&quot;\)"/>
      <alignment horizontal="center" vertical="bottom" textRotation="0" wrapText="0" indent="0" justifyLastLine="0" shrinkToFit="0" readingOrder="0"/>
      <border diagonalUp="0" diagonalDown="0" outline="0">
        <left style="thin">
          <color auto="1"/>
        </left>
        <right style="thin">
          <color indexed="64"/>
        </right>
        <top style="thin">
          <color auto="1"/>
        </top>
        <bottom style="thin">
          <color auto="1"/>
        </bottom>
      </border>
    </dxf>
    <dxf>
      <numFmt numFmtId="164" formatCode="#,##0\ &quot;$&quot;"/>
      <border diagonalUp="0" diagonalDown="0">
        <left/>
        <right style="thin">
          <color auto="1"/>
        </right>
        <top style="thin">
          <color auto="1"/>
        </top>
        <bottom style="thin">
          <color auto="1"/>
        </bottom>
        <vertical/>
        <horizontal/>
      </border>
    </dxf>
    <dxf>
      <numFmt numFmtId="164" formatCode="#,##0\ &quot;$&quot;"/>
      <border diagonalUp="0" diagonalDown="0">
        <left style="thin">
          <color auto="1"/>
        </left>
        <right style="thin">
          <color auto="1"/>
        </right>
        <top style="thin">
          <color auto="1"/>
        </top>
        <bottom style="thin">
          <color auto="1"/>
        </bottom>
        <vertical/>
        <horizontal/>
      </border>
    </dxf>
    <dxf>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thick">
          <color auto="1"/>
        </left>
        <right style="thick">
          <color auto="1"/>
        </right>
        <top style="thick">
          <color auto="1"/>
        </top>
        <bottom style="thick">
          <color auto="1"/>
        </bottom>
      </border>
    </dxf>
    <dxf>
      <border>
        <bottom style="thin">
          <color auto="1"/>
        </bottom>
      </border>
    </dxf>
    <dxf>
      <font>
        <strike val="0"/>
        <outline val="0"/>
        <shadow val="0"/>
        <u val="none"/>
        <vertAlign val="baseline"/>
        <sz val="11"/>
        <color auto="1"/>
        <name val="Calibri"/>
        <family val="2"/>
        <scheme val="minor"/>
      </font>
      <fill>
        <patternFill patternType="solid">
          <fgColor indexed="64"/>
          <bgColor theme="5" tint="0.79998168889431442"/>
        </patternFill>
      </fill>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style="thin">
          <color auto="1"/>
        </horizontal>
      </border>
    </dxf>
    <dxf>
      <numFmt numFmtId="164" formatCode="#,##0\ &quot;$&quot;"/>
      <fill>
        <patternFill patternType="solid">
          <fgColor indexed="64"/>
          <bgColor theme="9" tint="0.79998168889431442"/>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border>
    </dxf>
    <dxf>
      <numFmt numFmtId="164" formatCode="#,##0\ &quot;$&quot;"/>
      <fill>
        <patternFill patternType="solid">
          <fgColor indexed="64"/>
          <bgColor theme="9" tint="0.7999816888943144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0\ &quot;$&quot;"/>
      <fill>
        <patternFill patternType="solid">
          <fgColor indexed="64"/>
          <bgColor rgb="FFFFFFCC"/>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0\ &quot;$&quot;"/>
      <fill>
        <patternFill patternType="solid">
          <fgColor indexed="64"/>
          <bgColor rgb="FFFFFFCC"/>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0\ &quot;$&quot;"/>
      <fill>
        <patternFill patternType="solid">
          <fgColor indexed="64"/>
          <bgColor rgb="FFFFFFCC"/>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rgb="FFFFFFCC"/>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solid">
          <fgColor indexed="64"/>
          <bgColor theme="9" tint="0.79998168889431442"/>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border>
    </dxf>
    <dxf>
      <fill>
        <patternFill patternType="solid">
          <fgColor indexed="64"/>
          <bgColor rgb="FFFFFFCC"/>
        </patternFill>
      </fill>
      <alignment horizontal="center" vertical="bottom" textRotation="0" wrapText="0" indent="0" justifyLastLine="0" shrinkToFit="0" readingOrder="0"/>
      <border diagonalUp="0" diagonalDown="0" outline="0">
        <left/>
        <right/>
        <top style="thin">
          <color indexed="64"/>
        </top>
        <bottom style="thin">
          <color indexed="64"/>
        </bottom>
      </border>
    </dxf>
    <dxf>
      <border outline="0">
        <left style="thick">
          <color auto="1"/>
        </left>
        <right style="thick">
          <color indexed="64"/>
        </right>
        <top style="thick">
          <color auto="1"/>
        </top>
        <bottom style="thick">
          <color auto="1"/>
        </bottom>
      </border>
    </dxf>
    <dxf>
      <border outline="0">
        <bottom style="double">
          <color auto="1"/>
        </bottom>
      </border>
    </dxf>
    <dxf>
      <font>
        <strike val="0"/>
        <outline val="0"/>
        <shadow val="0"/>
        <u val="none"/>
        <vertAlign val="baseline"/>
        <sz val="11"/>
        <color auto="1"/>
        <name val="Calibri"/>
        <family val="2"/>
        <scheme val="minor"/>
      </font>
      <fill>
        <patternFill patternType="solid">
          <fgColor indexed="64"/>
          <bgColor theme="5" tint="0.59999389629810485"/>
        </patternFill>
      </fill>
      <alignment horizontal="center" vertical="bottom"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9.35"/>
        <color rgb="FF000000"/>
        <name val="Verdana"/>
        <family val="2"/>
        <scheme val="none"/>
      </font>
      <numFmt numFmtId="14" formatCode="0.00%"/>
      <fill>
        <patternFill patternType="solid">
          <fgColor indexed="64"/>
          <bgColor rgb="FFFFFFCC"/>
        </patternFill>
      </fill>
      <alignment horizontal="center" vertical="center" textRotation="0" wrapText="1" indent="0" justifyLastLine="0" shrinkToFit="0" readingOrder="0"/>
      <border diagonalUp="0" diagonalDown="0" outline="0">
        <left style="double">
          <color rgb="FF000000"/>
        </left>
        <right/>
        <top style="thin">
          <color rgb="FF000000"/>
        </top>
        <bottom style="thin">
          <color rgb="FF000000"/>
        </bottom>
      </border>
    </dxf>
    <dxf>
      <font>
        <b val="0"/>
        <i val="0"/>
        <strike val="0"/>
        <condense val="0"/>
        <extend val="0"/>
        <outline val="0"/>
        <shadow val="0"/>
        <u val="none"/>
        <vertAlign val="baseline"/>
        <sz val="9.35"/>
        <color rgb="FF000000"/>
        <name val="Verdana"/>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outline="0">
        <left/>
        <right style="double">
          <color rgb="FF000000"/>
        </right>
        <top style="thin">
          <color rgb="FF000000"/>
        </top>
        <bottom style="thin">
          <color rgb="FF000000"/>
        </bottom>
      </border>
    </dxf>
    <dxf>
      <border outline="0">
        <left style="thick">
          <color rgb="FF000000"/>
        </left>
        <right style="thick">
          <color rgb="FF000000"/>
        </right>
        <top style="thick">
          <color rgb="FF000000"/>
        </top>
        <bottom style="thick">
          <color rgb="FF000000"/>
        </bottom>
      </border>
    </dxf>
    <dxf>
      <border outline="0">
        <bottom style="double">
          <color rgb="FF000000"/>
        </bottom>
      </border>
    </dxf>
    <dxf>
      <font>
        <b/>
        <i val="0"/>
        <strike val="0"/>
        <condense val="0"/>
        <extend val="0"/>
        <outline val="0"/>
        <shadow val="0"/>
        <u val="none"/>
        <vertAlign val="baseline"/>
        <sz val="9.35"/>
        <color rgb="FF000000"/>
        <name val="Verdana"/>
        <family val="2"/>
        <scheme val="none"/>
      </font>
      <fill>
        <patternFill patternType="solid">
          <fgColor indexed="64"/>
          <bgColor theme="5" tint="0.59999389629810485"/>
        </patternFill>
      </fill>
      <alignment horizontal="center" vertical="center" textRotation="0" wrapText="1" indent="0" justifyLastLine="0" shrinkToFit="0" readingOrder="0"/>
      <border diagonalUp="0" diagonalDown="0" outline="0">
        <left style="double">
          <color rgb="FF000000"/>
        </left>
        <right style="double">
          <color rgb="FF000000"/>
        </right>
        <top/>
        <bottom/>
      </border>
    </dxf>
    <dxf>
      <fill>
        <patternFill>
          <bgColor rgb="FFFFFFCC"/>
        </patternFill>
      </fill>
    </dxf>
    <dxf>
      <font>
        <color auto="1"/>
      </font>
      <fill>
        <patternFill>
          <bgColor theme="9" tint="0.59996337778862885"/>
        </patternFill>
      </fill>
    </dxf>
  </dxfs>
  <tableStyles count="0" defaultTableStyle="TableStyleMedium2" defaultPivotStyle="PivotStyleLight16"/>
  <colors>
    <mruColors>
      <color rgb="FFFFFFCC"/>
      <color rgb="FFF1D9F3"/>
      <color rgb="FF00FF99"/>
      <color rgb="FFFFFF66"/>
      <color rgb="FF00FFFF"/>
      <color rgb="FF0CF486"/>
      <color rgb="FFFFFF99"/>
      <color rgb="FF19E7A2"/>
      <color rgb="FF11EFA5"/>
      <color rgb="FF17E9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A"/>
              <a:t>Évolution du taux de cotisation au RREGOP</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7.8392139416610343E-2"/>
          <c:y val="0.11265190183318793"/>
          <c:w val="0.91688252124263281"/>
          <c:h val="0.8102052100478514"/>
        </c:manualLayout>
      </c:layout>
      <c:lineChart>
        <c:grouping val="standard"/>
        <c:varyColors val="0"/>
        <c:ser>
          <c:idx val="0"/>
          <c:order val="0"/>
          <c:spPr>
            <a:ln w="31750" cap="rnd">
              <a:solidFill>
                <a:schemeClr val="accent6">
                  <a:lumMod val="75000"/>
                </a:schemeClr>
              </a:solidFill>
              <a:round/>
            </a:ln>
            <a:effectLst/>
          </c:spPr>
          <c:marker>
            <c:symbol val="none"/>
          </c:marker>
          <c:cat>
            <c:numRef>
              <c:f>PP!$B$50:$B$99</c:f>
              <c:numCache>
                <c:formatCode>General</c:formatCode>
                <c:ptCount val="50"/>
                <c:pt idx="0">
                  <c:v>1973</c:v>
                </c:pt>
                <c:pt idx="1">
                  <c:v>1974</c:v>
                </c:pt>
                <c:pt idx="2">
                  <c:v>1975</c:v>
                </c:pt>
                <c:pt idx="3">
                  <c:v>1976</c:v>
                </c:pt>
                <c:pt idx="4">
                  <c:v>1977</c:v>
                </c:pt>
                <c:pt idx="5">
                  <c:v>1978</c:v>
                </c:pt>
                <c:pt idx="6">
                  <c:v>1979</c:v>
                </c:pt>
                <c:pt idx="7">
                  <c:v>1980</c:v>
                </c:pt>
                <c:pt idx="8">
                  <c:v>1981</c:v>
                </c:pt>
                <c:pt idx="9">
                  <c:v>1982</c:v>
                </c:pt>
                <c:pt idx="10">
                  <c:v>1983</c:v>
                </c:pt>
                <c:pt idx="11">
                  <c:v>1984</c:v>
                </c:pt>
                <c:pt idx="12">
                  <c:v>1985</c:v>
                </c:pt>
                <c:pt idx="13">
                  <c:v>1986</c:v>
                </c:pt>
                <c:pt idx="14">
                  <c:v>1987</c:v>
                </c:pt>
                <c:pt idx="15">
                  <c:v>1988</c:v>
                </c:pt>
                <c:pt idx="16">
                  <c:v>1989</c:v>
                </c:pt>
                <c:pt idx="17">
                  <c:v>1990</c:v>
                </c:pt>
                <c:pt idx="18">
                  <c:v>1991</c:v>
                </c:pt>
                <c:pt idx="19">
                  <c:v>1992</c:v>
                </c:pt>
                <c:pt idx="20">
                  <c:v>1993</c:v>
                </c:pt>
                <c:pt idx="21">
                  <c:v>1994</c:v>
                </c:pt>
                <c:pt idx="22">
                  <c:v>1995</c:v>
                </c:pt>
                <c:pt idx="23">
                  <c:v>1996</c:v>
                </c:pt>
                <c:pt idx="24">
                  <c:v>1997</c:v>
                </c:pt>
                <c:pt idx="25">
                  <c:v>1998</c:v>
                </c:pt>
                <c:pt idx="26">
                  <c:v>1999</c:v>
                </c:pt>
                <c:pt idx="27">
                  <c:v>2000</c:v>
                </c:pt>
                <c:pt idx="28">
                  <c:v>2001</c:v>
                </c:pt>
                <c:pt idx="29">
                  <c:v>2002</c:v>
                </c:pt>
                <c:pt idx="30">
                  <c:v>2003</c:v>
                </c:pt>
                <c:pt idx="31">
                  <c:v>2004</c:v>
                </c:pt>
                <c:pt idx="32">
                  <c:v>2005</c:v>
                </c:pt>
                <c:pt idx="33">
                  <c:v>2006</c:v>
                </c:pt>
                <c:pt idx="34">
                  <c:v>2007</c:v>
                </c:pt>
                <c:pt idx="35">
                  <c:v>2008</c:v>
                </c:pt>
                <c:pt idx="36">
                  <c:v>2009</c:v>
                </c:pt>
                <c:pt idx="37">
                  <c:v>2010</c:v>
                </c:pt>
                <c:pt idx="38">
                  <c:v>2011</c:v>
                </c:pt>
                <c:pt idx="39">
                  <c:v>2012</c:v>
                </c:pt>
                <c:pt idx="40">
                  <c:v>2013</c:v>
                </c:pt>
                <c:pt idx="41">
                  <c:v>2014</c:v>
                </c:pt>
                <c:pt idx="42">
                  <c:v>2015</c:v>
                </c:pt>
                <c:pt idx="43">
                  <c:v>2016</c:v>
                </c:pt>
                <c:pt idx="44">
                  <c:v>2017</c:v>
                </c:pt>
                <c:pt idx="45">
                  <c:v>2018</c:v>
                </c:pt>
                <c:pt idx="46">
                  <c:v>2019</c:v>
                </c:pt>
                <c:pt idx="47">
                  <c:v>2020</c:v>
                </c:pt>
                <c:pt idx="48">
                  <c:v>2021</c:v>
                </c:pt>
                <c:pt idx="49">
                  <c:v>2022</c:v>
                </c:pt>
              </c:numCache>
            </c:numRef>
          </c:cat>
          <c:val>
            <c:numRef>
              <c:f>PP!$C$50:$C$99</c:f>
              <c:numCache>
                <c:formatCode>0.00%</c:formatCode>
                <c:ptCount val="50"/>
                <c:pt idx="0">
                  <c:v>7.4999999999999997E-2</c:v>
                </c:pt>
                <c:pt idx="1">
                  <c:v>7.4999999999999997E-2</c:v>
                </c:pt>
                <c:pt idx="2">
                  <c:v>7.4999999999999997E-2</c:v>
                </c:pt>
                <c:pt idx="3">
                  <c:v>7.4999999999999997E-2</c:v>
                </c:pt>
                <c:pt idx="4">
                  <c:v>7.4999999999999997E-2</c:v>
                </c:pt>
                <c:pt idx="5">
                  <c:v>7.4999999999999997E-2</c:v>
                </c:pt>
                <c:pt idx="6">
                  <c:v>7.4999999999999997E-2</c:v>
                </c:pt>
                <c:pt idx="7">
                  <c:v>7.4999999999999997E-2</c:v>
                </c:pt>
                <c:pt idx="8">
                  <c:v>7.4999999999999997E-2</c:v>
                </c:pt>
                <c:pt idx="9">
                  <c:v>7.4999999999999997E-2</c:v>
                </c:pt>
                <c:pt idx="10">
                  <c:v>7.0999999999999994E-2</c:v>
                </c:pt>
                <c:pt idx="11">
                  <c:v>7.0000000000000007E-2</c:v>
                </c:pt>
                <c:pt idx="12">
                  <c:v>7.0000000000000007E-2</c:v>
                </c:pt>
                <c:pt idx="13">
                  <c:v>7.0000000000000007E-2</c:v>
                </c:pt>
                <c:pt idx="14">
                  <c:v>7.0000000000000007E-2</c:v>
                </c:pt>
                <c:pt idx="15">
                  <c:v>7.0000000000000007E-2</c:v>
                </c:pt>
                <c:pt idx="16">
                  <c:v>7.0000000000000007E-2</c:v>
                </c:pt>
                <c:pt idx="17">
                  <c:v>7.0000000000000007E-2</c:v>
                </c:pt>
                <c:pt idx="18">
                  <c:v>7.0000000000000007E-2</c:v>
                </c:pt>
                <c:pt idx="19">
                  <c:v>7.0000000000000007E-2</c:v>
                </c:pt>
                <c:pt idx="20">
                  <c:v>7.6799999999999993E-2</c:v>
                </c:pt>
                <c:pt idx="21">
                  <c:v>7.6799999999999993E-2</c:v>
                </c:pt>
                <c:pt idx="22">
                  <c:v>7.6799999999999993E-2</c:v>
                </c:pt>
                <c:pt idx="23">
                  <c:v>7.9500000000000001E-2</c:v>
                </c:pt>
                <c:pt idx="24">
                  <c:v>7.9500000000000001E-2</c:v>
                </c:pt>
                <c:pt idx="25">
                  <c:v>7.9500000000000001E-2</c:v>
                </c:pt>
                <c:pt idx="26">
                  <c:v>7.9500000000000001E-2</c:v>
                </c:pt>
                <c:pt idx="27">
                  <c:v>5.3499999999999999E-2</c:v>
                </c:pt>
                <c:pt idx="28">
                  <c:v>5.3499999999999999E-2</c:v>
                </c:pt>
                <c:pt idx="29">
                  <c:v>5.3499999999999999E-2</c:v>
                </c:pt>
                <c:pt idx="30">
                  <c:v>5.3499999999999999E-2</c:v>
                </c:pt>
                <c:pt idx="31">
                  <c:v>5.3499999999999999E-2</c:v>
                </c:pt>
                <c:pt idx="32">
                  <c:v>7.0599999999999996E-2</c:v>
                </c:pt>
                <c:pt idx="33">
                  <c:v>7.0599999999999996E-2</c:v>
                </c:pt>
                <c:pt idx="34">
                  <c:v>7.0599999999999996E-2</c:v>
                </c:pt>
                <c:pt idx="35">
                  <c:v>8.1900000000000001E-2</c:v>
                </c:pt>
                <c:pt idx="36">
                  <c:v>8.1900000000000001E-2</c:v>
                </c:pt>
                <c:pt idx="37">
                  <c:v>8.1900000000000001E-2</c:v>
                </c:pt>
                <c:pt idx="38">
                  <c:v>8.6899999999999991E-2</c:v>
                </c:pt>
                <c:pt idx="39">
                  <c:v>8.9399999999999993E-2</c:v>
                </c:pt>
                <c:pt idx="40">
                  <c:v>9.1799999999999993E-2</c:v>
                </c:pt>
                <c:pt idx="41">
                  <c:v>9.8400000000000001E-2</c:v>
                </c:pt>
                <c:pt idx="42">
                  <c:v>0.105</c:v>
                </c:pt>
                <c:pt idx="43">
                  <c:v>0.11119999999999999</c:v>
                </c:pt>
                <c:pt idx="44">
                  <c:v>0.1105</c:v>
                </c:pt>
                <c:pt idx="45">
                  <c:v>0.10970000000000001</c:v>
                </c:pt>
                <c:pt idx="46">
                  <c:v>0.10879999999999999</c:v>
                </c:pt>
                <c:pt idx="47">
                  <c:v>0.10630000000000001</c:v>
                </c:pt>
                <c:pt idx="48">
                  <c:v>0.1033</c:v>
                </c:pt>
                <c:pt idx="49">
                  <c:v>0.10039999999999999</c:v>
                </c:pt>
              </c:numCache>
            </c:numRef>
          </c:val>
          <c:smooth val="0"/>
          <c:extLst>
            <c:ext xmlns:c16="http://schemas.microsoft.com/office/drawing/2014/chart" uri="{C3380CC4-5D6E-409C-BE32-E72D297353CC}">
              <c16:uniqueId val="{00000000-51F5-4408-A805-B8E8654234BD}"/>
            </c:ext>
          </c:extLst>
        </c:ser>
        <c:dLbls>
          <c:showLegendKey val="0"/>
          <c:showVal val="0"/>
          <c:showCatName val="0"/>
          <c:showSerName val="0"/>
          <c:showPercent val="0"/>
          <c:showBubbleSize val="0"/>
        </c:dLbls>
        <c:smooth val="0"/>
        <c:axId val="772141144"/>
        <c:axId val="772140816"/>
      </c:lineChart>
      <c:catAx>
        <c:axId val="772141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72140816"/>
        <c:crosses val="autoZero"/>
        <c:auto val="1"/>
        <c:lblAlgn val="ctr"/>
        <c:lblOffset val="100"/>
        <c:noMultiLvlLbl val="0"/>
      </c:catAx>
      <c:valAx>
        <c:axId val="77214081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721411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A"/>
              <a:t>Évolution du taux de cotisation au RRPE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spPr>
            <a:ln w="31750" cap="rnd">
              <a:solidFill>
                <a:srgbClr val="FF0000"/>
              </a:solidFill>
              <a:round/>
            </a:ln>
            <a:effectLst/>
          </c:spPr>
          <c:marker>
            <c:symbol val="none"/>
          </c:marker>
          <c:cat>
            <c:numRef>
              <c:f>PP!$B$103:$B$126</c:f>
              <c:numCache>
                <c:formatCode>General</c:formatCode>
                <c:ptCount val="24"/>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numCache>
            </c:numRef>
          </c:cat>
          <c:val>
            <c:numRef>
              <c:f>PP!$C$103:$C$126</c:f>
              <c:numCache>
                <c:formatCode>0.00%</c:formatCode>
                <c:ptCount val="24"/>
                <c:pt idx="0">
                  <c:v>6.3500000000000001E-2</c:v>
                </c:pt>
                <c:pt idx="1">
                  <c:v>6.3500000000000001E-2</c:v>
                </c:pt>
                <c:pt idx="2">
                  <c:v>6.3500000000000001E-2</c:v>
                </c:pt>
                <c:pt idx="3">
                  <c:v>0.01</c:v>
                </c:pt>
                <c:pt idx="4">
                  <c:v>0.01</c:v>
                </c:pt>
                <c:pt idx="5">
                  <c:v>4.4999999999999998E-2</c:v>
                </c:pt>
                <c:pt idx="6">
                  <c:v>4.4999999999999998E-2</c:v>
                </c:pt>
                <c:pt idx="7">
                  <c:v>4.4999999999999998E-2</c:v>
                </c:pt>
                <c:pt idx="8">
                  <c:v>7.7800000000000008E-2</c:v>
                </c:pt>
                <c:pt idx="9">
                  <c:v>7.7800000000000008E-2</c:v>
                </c:pt>
                <c:pt idx="10">
                  <c:v>7.7800000000000008E-2</c:v>
                </c:pt>
                <c:pt idx="11">
                  <c:v>0.10539999999999999</c:v>
                </c:pt>
                <c:pt idx="12">
                  <c:v>0.10539999999999999</c:v>
                </c:pt>
                <c:pt idx="13">
                  <c:v>0.10539999999999999</c:v>
                </c:pt>
                <c:pt idx="14">
                  <c:v>0.11539999999999999</c:v>
                </c:pt>
                <c:pt idx="15">
                  <c:v>0.12300000000000001</c:v>
                </c:pt>
                <c:pt idx="16">
                  <c:v>0.12300000000000001</c:v>
                </c:pt>
                <c:pt idx="17">
                  <c:v>0.14380000000000001</c:v>
                </c:pt>
                <c:pt idx="18">
                  <c:v>0.14380000000000001</c:v>
                </c:pt>
                <c:pt idx="19">
                  <c:v>0.14380000000000001</c:v>
                </c:pt>
                <c:pt idx="20">
                  <c:v>0.15029999999999999</c:v>
                </c:pt>
                <c:pt idx="21">
                  <c:v>0.12820000000000001</c:v>
                </c:pt>
                <c:pt idx="22">
                  <c:v>0.12820000000000001</c:v>
                </c:pt>
                <c:pt idx="23">
                  <c:v>0.1229</c:v>
                </c:pt>
              </c:numCache>
            </c:numRef>
          </c:val>
          <c:smooth val="0"/>
          <c:extLst>
            <c:ext xmlns:c16="http://schemas.microsoft.com/office/drawing/2014/chart" uri="{C3380CC4-5D6E-409C-BE32-E72D297353CC}">
              <c16:uniqueId val="{00000000-099B-4B2B-AED1-09A39E97FBF3}"/>
            </c:ext>
          </c:extLst>
        </c:ser>
        <c:dLbls>
          <c:showLegendKey val="0"/>
          <c:showVal val="0"/>
          <c:showCatName val="0"/>
          <c:showSerName val="0"/>
          <c:showPercent val="0"/>
          <c:showBubbleSize val="0"/>
        </c:dLbls>
        <c:smooth val="0"/>
        <c:axId val="772141144"/>
        <c:axId val="772140816"/>
      </c:lineChart>
      <c:catAx>
        <c:axId val="772141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72140816"/>
        <c:crosses val="autoZero"/>
        <c:auto val="1"/>
        <c:lblAlgn val="ctr"/>
        <c:lblOffset val="100"/>
        <c:noMultiLvlLbl val="0"/>
      </c:catAx>
      <c:valAx>
        <c:axId val="77214081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721411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20858040893038"/>
          <c:y val="0.13065604427365476"/>
          <c:w val="0.8803305142412754"/>
          <c:h val="0.77705595285051043"/>
        </c:manualLayout>
      </c:layout>
      <c:barChart>
        <c:barDir val="col"/>
        <c:grouping val="clustered"/>
        <c:varyColors val="0"/>
        <c:ser>
          <c:idx val="0"/>
          <c:order val="0"/>
          <c:tx>
            <c:strRef>
              <c:f>PP!$M$49</c:f>
              <c:strCache>
                <c:ptCount val="1"/>
                <c:pt idx="0">
                  <c:v>Mds $</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PP!$L$50:$L$73</c:f>
              <c:numCache>
                <c:formatCode>General</c:formatCode>
                <c:ptCount val="24"/>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numCache>
            </c:numRef>
          </c:cat>
          <c:val>
            <c:numRef>
              <c:f>PP!$M$50:$M$73</c:f>
              <c:numCache>
                <c:formatCode>0.00</c:formatCode>
                <c:ptCount val="24"/>
                <c:pt idx="0">
                  <c:v>19.8</c:v>
                </c:pt>
                <c:pt idx="1">
                  <c:v>22.8</c:v>
                </c:pt>
                <c:pt idx="2">
                  <c:v>25.6</c:v>
                </c:pt>
                <c:pt idx="3">
                  <c:v>29.7</c:v>
                </c:pt>
                <c:pt idx="4">
                  <c:v>31.6</c:v>
                </c:pt>
                <c:pt idx="5">
                  <c:v>30</c:v>
                </c:pt>
                <c:pt idx="6">
                  <c:v>27.2</c:v>
                </c:pt>
                <c:pt idx="7">
                  <c:v>31</c:v>
                </c:pt>
                <c:pt idx="8">
                  <c:v>34.299999999999997</c:v>
                </c:pt>
                <c:pt idx="9">
                  <c:v>38.9</c:v>
                </c:pt>
                <c:pt idx="10">
                  <c:v>44.2</c:v>
                </c:pt>
                <c:pt idx="11">
                  <c:v>46.1</c:v>
                </c:pt>
                <c:pt idx="12">
                  <c:v>33.799999999999997</c:v>
                </c:pt>
                <c:pt idx="13">
                  <c:v>37.200000000000003</c:v>
                </c:pt>
                <c:pt idx="14">
                  <c:v>41.3</c:v>
                </c:pt>
                <c:pt idx="15">
                  <c:v>42</c:v>
                </c:pt>
                <c:pt idx="16">
                  <c:v>45.1</c:v>
                </c:pt>
                <c:pt idx="17">
                  <c:v>50.4</c:v>
                </c:pt>
                <c:pt idx="18">
                  <c:v>55.7</c:v>
                </c:pt>
                <c:pt idx="19">
                  <c:v>59.9</c:v>
                </c:pt>
                <c:pt idx="20">
                  <c:v>63.6</c:v>
                </c:pt>
                <c:pt idx="21">
                  <c:v>68.5</c:v>
                </c:pt>
                <c:pt idx="22">
                  <c:v>70.400000000000006</c:v>
                </c:pt>
                <c:pt idx="23">
                  <c:v>76.8</c:v>
                </c:pt>
              </c:numCache>
            </c:numRef>
          </c:val>
          <c:extLst>
            <c:ext xmlns:c16="http://schemas.microsoft.com/office/drawing/2014/chart" uri="{C3380CC4-5D6E-409C-BE32-E72D297353CC}">
              <c16:uniqueId val="{00000000-AE55-432F-95BE-E480DE7BA687}"/>
            </c:ext>
          </c:extLst>
        </c:ser>
        <c:dLbls>
          <c:showLegendKey val="0"/>
          <c:showVal val="0"/>
          <c:showCatName val="0"/>
          <c:showSerName val="0"/>
          <c:showPercent val="0"/>
          <c:showBubbleSize val="0"/>
        </c:dLbls>
        <c:gapWidth val="219"/>
        <c:overlap val="-27"/>
        <c:axId val="734664816"/>
        <c:axId val="734672688"/>
      </c:barChart>
      <c:catAx>
        <c:axId val="73466481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4672688"/>
        <c:crosses val="autoZero"/>
        <c:auto val="1"/>
        <c:lblAlgn val="ctr"/>
        <c:lblOffset val="100"/>
        <c:noMultiLvlLbl val="0"/>
      </c:catAx>
      <c:valAx>
        <c:axId val="734672688"/>
        <c:scaling>
          <c:orientation val="minMax"/>
        </c:scaling>
        <c:delete val="0"/>
        <c:axPos val="l"/>
        <c:majorGridlines>
          <c:spPr>
            <a:ln w="9525" cap="flat" cmpd="sng" algn="ctr">
              <a:noFill/>
              <a:round/>
            </a:ln>
            <a:effectLst/>
          </c:spPr>
        </c:majorGridlines>
        <c:numFmt formatCode="0.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4664816"/>
        <c:crosses val="autoZero"/>
        <c:crossBetween val="between"/>
      </c:valAx>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20858040893038"/>
          <c:y val="0.13065604427365476"/>
          <c:w val="0.8803305142412754"/>
          <c:h val="0.77705595285051043"/>
        </c:manualLayout>
      </c:layout>
      <c:barChart>
        <c:barDir val="col"/>
        <c:grouping val="clustered"/>
        <c:varyColors val="0"/>
        <c:ser>
          <c:idx val="0"/>
          <c:order val="0"/>
          <c:tx>
            <c:strRef>
              <c:f>PP!$M$49</c:f>
              <c:strCache>
                <c:ptCount val="1"/>
                <c:pt idx="0">
                  <c:v>Mds $</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PP!$L$50:$L$73</c:f>
              <c:numCache>
                <c:formatCode>General</c:formatCode>
                <c:ptCount val="24"/>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numCache>
            </c:numRef>
          </c:cat>
          <c:val>
            <c:numRef>
              <c:f>PP!$M$50:$M$73</c:f>
              <c:numCache>
                <c:formatCode>0.00</c:formatCode>
                <c:ptCount val="24"/>
                <c:pt idx="0">
                  <c:v>19.8</c:v>
                </c:pt>
                <c:pt idx="1">
                  <c:v>22.8</c:v>
                </c:pt>
                <c:pt idx="2">
                  <c:v>25.6</c:v>
                </c:pt>
                <c:pt idx="3">
                  <c:v>29.7</c:v>
                </c:pt>
                <c:pt idx="4">
                  <c:v>31.6</c:v>
                </c:pt>
                <c:pt idx="5">
                  <c:v>30</c:v>
                </c:pt>
                <c:pt idx="6">
                  <c:v>27.2</c:v>
                </c:pt>
                <c:pt idx="7">
                  <c:v>31</c:v>
                </c:pt>
                <c:pt idx="8">
                  <c:v>34.299999999999997</c:v>
                </c:pt>
                <c:pt idx="9">
                  <c:v>38.9</c:v>
                </c:pt>
                <c:pt idx="10">
                  <c:v>44.2</c:v>
                </c:pt>
                <c:pt idx="11">
                  <c:v>46.1</c:v>
                </c:pt>
                <c:pt idx="12">
                  <c:v>33.799999999999997</c:v>
                </c:pt>
                <c:pt idx="13">
                  <c:v>37.200000000000003</c:v>
                </c:pt>
                <c:pt idx="14">
                  <c:v>41.3</c:v>
                </c:pt>
                <c:pt idx="15">
                  <c:v>42</c:v>
                </c:pt>
                <c:pt idx="16">
                  <c:v>45.1</c:v>
                </c:pt>
                <c:pt idx="17">
                  <c:v>50.4</c:v>
                </c:pt>
                <c:pt idx="18">
                  <c:v>55.7</c:v>
                </c:pt>
                <c:pt idx="19">
                  <c:v>59.9</c:v>
                </c:pt>
                <c:pt idx="20">
                  <c:v>63.6</c:v>
                </c:pt>
                <c:pt idx="21">
                  <c:v>68.5</c:v>
                </c:pt>
                <c:pt idx="22">
                  <c:v>70.400000000000006</c:v>
                </c:pt>
                <c:pt idx="23">
                  <c:v>76.8</c:v>
                </c:pt>
              </c:numCache>
            </c:numRef>
          </c:val>
          <c:extLst>
            <c:ext xmlns:c16="http://schemas.microsoft.com/office/drawing/2014/chart" uri="{C3380CC4-5D6E-409C-BE32-E72D297353CC}">
              <c16:uniqueId val="{00000000-0D4B-449F-868D-DA98EE842BC5}"/>
            </c:ext>
          </c:extLst>
        </c:ser>
        <c:dLbls>
          <c:showLegendKey val="0"/>
          <c:showVal val="0"/>
          <c:showCatName val="0"/>
          <c:showSerName val="0"/>
          <c:showPercent val="0"/>
          <c:showBubbleSize val="0"/>
        </c:dLbls>
        <c:gapWidth val="219"/>
        <c:overlap val="-27"/>
        <c:axId val="734664816"/>
        <c:axId val="734672688"/>
      </c:barChart>
      <c:catAx>
        <c:axId val="73466481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4672688"/>
        <c:crosses val="autoZero"/>
        <c:auto val="1"/>
        <c:lblAlgn val="ctr"/>
        <c:lblOffset val="100"/>
        <c:noMultiLvlLbl val="0"/>
      </c:catAx>
      <c:valAx>
        <c:axId val="734672688"/>
        <c:scaling>
          <c:orientation val="minMax"/>
        </c:scaling>
        <c:delete val="0"/>
        <c:axPos val="l"/>
        <c:majorGridlines>
          <c:spPr>
            <a:ln w="9525" cap="flat" cmpd="sng" algn="ctr">
              <a:noFill/>
              <a:round/>
            </a:ln>
            <a:effectLst/>
          </c:spPr>
        </c:majorGridlines>
        <c:numFmt formatCode="0.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4664816"/>
        <c:crosses val="autoZero"/>
        <c:crossBetween val="between"/>
      </c:valAx>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373357</xdr:colOff>
      <xdr:row>45</xdr:row>
      <xdr:rowOff>59576</xdr:rowOff>
    </xdr:from>
    <xdr:to>
      <xdr:col>4</xdr:col>
      <xdr:colOff>48936</xdr:colOff>
      <xdr:row>47</xdr:row>
      <xdr:rowOff>189702</xdr:rowOff>
    </xdr:to>
    <xdr:pic>
      <xdr:nvPicPr>
        <xdr:cNvPr id="4" name="Image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135357" y="8714902"/>
          <a:ext cx="1704818" cy="5111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162713</xdr:colOff>
      <xdr:row>49</xdr:row>
      <xdr:rowOff>154094</xdr:rowOff>
    </xdr:from>
    <xdr:to>
      <xdr:col>9</xdr:col>
      <xdr:colOff>74542</xdr:colOff>
      <xdr:row>72</xdr:row>
      <xdr:rowOff>57977</xdr:rowOff>
    </xdr:to>
    <xdr:graphicFrame macro="">
      <xdr:nvGraphicFramePr>
        <xdr:cNvPr id="2" name="Graphique 1">
          <a:extLst>
            <a:ext uri="{FF2B5EF4-FFF2-40B4-BE49-F238E27FC236}">
              <a16:creationId xmlns:a16="http://schemas.microsoft.com/office/drawing/2014/main" id="{237D5544-E2CC-4D1B-AC9D-93688EC7C2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104</xdr:row>
      <xdr:rowOff>28575</xdr:rowOff>
    </xdr:from>
    <xdr:to>
      <xdr:col>9</xdr:col>
      <xdr:colOff>623888</xdr:colOff>
      <xdr:row>127</xdr:row>
      <xdr:rowOff>157163</xdr:rowOff>
    </xdr:to>
    <xdr:graphicFrame macro="">
      <xdr:nvGraphicFramePr>
        <xdr:cNvPr id="3" name="Graphique 2">
          <a:extLst>
            <a:ext uri="{FF2B5EF4-FFF2-40B4-BE49-F238E27FC236}">
              <a16:creationId xmlns:a16="http://schemas.microsoft.com/office/drawing/2014/main" id="{BA29A160-7356-40E1-9D3D-EDCB6FD384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143565</xdr:colOff>
      <xdr:row>40</xdr:row>
      <xdr:rowOff>176209</xdr:rowOff>
    </xdr:from>
    <xdr:to>
      <xdr:col>23</xdr:col>
      <xdr:colOff>759515</xdr:colOff>
      <xdr:row>62</xdr:row>
      <xdr:rowOff>108502</xdr:rowOff>
    </xdr:to>
    <xdr:grpSp>
      <xdr:nvGrpSpPr>
        <xdr:cNvPr id="4" name="Groupe 3">
          <a:extLst>
            <a:ext uri="{FF2B5EF4-FFF2-40B4-BE49-F238E27FC236}">
              <a16:creationId xmlns:a16="http://schemas.microsoft.com/office/drawing/2014/main" id="{EF4664DC-9BA0-4658-91CA-561AE00D5A84}"/>
            </a:ext>
          </a:extLst>
        </xdr:cNvPr>
        <xdr:cNvGrpSpPr/>
      </xdr:nvGrpSpPr>
      <xdr:grpSpPr>
        <a:xfrm>
          <a:off x="12821340" y="8072434"/>
          <a:ext cx="9874250" cy="4285218"/>
          <a:chOff x="12239625" y="8024810"/>
          <a:chExt cx="9229725" cy="4224340"/>
        </a:xfrm>
      </xdr:grpSpPr>
      <xdr:graphicFrame macro="">
        <xdr:nvGraphicFramePr>
          <xdr:cNvPr id="5" name="Graphique 4">
            <a:extLst>
              <a:ext uri="{FF2B5EF4-FFF2-40B4-BE49-F238E27FC236}">
                <a16:creationId xmlns:a16="http://schemas.microsoft.com/office/drawing/2014/main" id="{56DADFFB-EC90-470D-85A2-E24CE851A5C6}"/>
              </a:ext>
            </a:extLst>
          </xdr:cNvPr>
          <xdr:cNvGraphicFramePr/>
        </xdr:nvGraphicFramePr>
        <xdr:xfrm>
          <a:off x="12239625" y="8024810"/>
          <a:ext cx="9229725" cy="4148139"/>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6" name="ZoneTexte 5">
            <a:extLst>
              <a:ext uri="{FF2B5EF4-FFF2-40B4-BE49-F238E27FC236}">
                <a16:creationId xmlns:a16="http://schemas.microsoft.com/office/drawing/2014/main" id="{558C1B4C-C45B-4747-B3F4-4E5C917B4D01}"/>
              </a:ext>
            </a:extLst>
          </xdr:cNvPr>
          <xdr:cNvSpPr txBox="1"/>
        </xdr:nvSpPr>
        <xdr:spPr>
          <a:xfrm>
            <a:off x="20735925" y="12020550"/>
            <a:ext cx="6381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100"/>
              <a:t>Année</a:t>
            </a:r>
          </a:p>
        </xdr:txBody>
      </xdr:sp>
    </xdr:grpSp>
    <xdr:clientData/>
  </xdr:twoCellAnchor>
  <xdr:twoCellAnchor>
    <xdr:from>
      <xdr:col>13</xdr:col>
      <xdr:colOff>204856</xdr:colOff>
      <xdr:row>60</xdr:row>
      <xdr:rowOff>154675</xdr:rowOff>
    </xdr:from>
    <xdr:to>
      <xdr:col>24</xdr:col>
      <xdr:colOff>58806</xdr:colOff>
      <xdr:row>82</xdr:row>
      <xdr:rowOff>161510</xdr:rowOff>
    </xdr:to>
    <xdr:grpSp>
      <xdr:nvGrpSpPr>
        <xdr:cNvPr id="8" name="Groupe 7">
          <a:extLst>
            <a:ext uri="{FF2B5EF4-FFF2-40B4-BE49-F238E27FC236}">
              <a16:creationId xmlns:a16="http://schemas.microsoft.com/office/drawing/2014/main" id="{5EE837EC-ED99-488A-B844-5315421866E8}"/>
            </a:ext>
          </a:extLst>
        </xdr:cNvPr>
        <xdr:cNvGrpSpPr/>
      </xdr:nvGrpSpPr>
      <xdr:grpSpPr>
        <a:xfrm>
          <a:off x="12882631" y="12013300"/>
          <a:ext cx="9874250" cy="4235935"/>
          <a:chOff x="12239625" y="8024810"/>
          <a:chExt cx="9229725" cy="4224340"/>
        </a:xfrm>
      </xdr:grpSpPr>
      <xdr:graphicFrame macro="">
        <xdr:nvGraphicFramePr>
          <xdr:cNvPr id="10" name="Graphique 9">
            <a:extLst>
              <a:ext uri="{FF2B5EF4-FFF2-40B4-BE49-F238E27FC236}">
                <a16:creationId xmlns:a16="http://schemas.microsoft.com/office/drawing/2014/main" id="{7F79935D-65CB-4DA2-919A-96DCFFD80C10}"/>
              </a:ext>
            </a:extLst>
          </xdr:cNvPr>
          <xdr:cNvGraphicFramePr/>
        </xdr:nvGraphicFramePr>
        <xdr:xfrm>
          <a:off x="12239625" y="8024810"/>
          <a:ext cx="9229725" cy="4148139"/>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11" name="ZoneTexte 10">
            <a:extLst>
              <a:ext uri="{FF2B5EF4-FFF2-40B4-BE49-F238E27FC236}">
                <a16:creationId xmlns:a16="http://schemas.microsoft.com/office/drawing/2014/main" id="{F400C81B-2EFB-4EBC-A7BD-72EF0C031E35}"/>
              </a:ext>
            </a:extLst>
          </xdr:cNvPr>
          <xdr:cNvSpPr txBox="1"/>
        </xdr:nvSpPr>
        <xdr:spPr>
          <a:xfrm>
            <a:off x="20735925" y="12020550"/>
            <a:ext cx="6381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100"/>
              <a:t>Year</a:t>
            </a:r>
          </a:p>
        </xdr:txBody>
      </xdr:sp>
    </xdr:grpSp>
    <xdr:clientData/>
  </xdr:twoCellAnchor>
</xdr:wsDr>
</file>

<file path=xl/drawings/drawing3.xml><?xml version="1.0" encoding="utf-8"?>
<c:userShapes xmlns:c="http://schemas.openxmlformats.org/drawingml/2006/chart">
  <cdr:relSizeAnchor xmlns:cdr="http://schemas.openxmlformats.org/drawingml/2006/chartDrawing">
    <cdr:from>
      <cdr:x>0.01971</cdr:x>
      <cdr:y>0.05108</cdr:y>
    </cdr:from>
    <cdr:to>
      <cdr:x>0.05579</cdr:x>
      <cdr:y>0.34428</cdr:y>
    </cdr:to>
    <cdr:sp macro="" textlink="">
      <cdr:nvSpPr>
        <cdr:cNvPr id="2" name="ZoneTexte 1">
          <a:extLst xmlns:a="http://schemas.openxmlformats.org/drawingml/2006/main">
            <a:ext uri="{FF2B5EF4-FFF2-40B4-BE49-F238E27FC236}">
              <a16:creationId xmlns:a16="http://schemas.microsoft.com/office/drawing/2014/main" id="{A941712C-7028-4231-81FE-CEB53F19D2C1}"/>
            </a:ext>
          </a:extLst>
        </cdr:cNvPr>
        <cdr:cNvSpPr txBox="1"/>
      </cdr:nvSpPr>
      <cdr:spPr>
        <a:xfrm xmlns:a="http://schemas.openxmlformats.org/drawingml/2006/main" rot="16200000">
          <a:off x="-208121" y="559572"/>
          <a:ext cx="1057041" cy="30619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1100"/>
            <a:t>Milliards</a:t>
          </a:r>
          <a:r>
            <a:rPr lang="fr-CA" sz="1100" baseline="0"/>
            <a:t> de </a:t>
          </a:r>
          <a:r>
            <a:rPr lang="fr-CA" sz="1100"/>
            <a:t> $</a:t>
          </a:r>
        </a:p>
      </cdr:txBody>
    </cdr:sp>
  </cdr:relSizeAnchor>
</c:userShapes>
</file>

<file path=xl/drawings/drawing4.xml><?xml version="1.0" encoding="utf-8"?>
<c:userShapes xmlns:c="http://schemas.openxmlformats.org/drawingml/2006/chart">
  <cdr:relSizeAnchor xmlns:cdr="http://schemas.openxmlformats.org/drawingml/2006/chartDrawing">
    <cdr:from>
      <cdr:x>0.01971</cdr:x>
      <cdr:y>0.13475</cdr:y>
    </cdr:from>
    <cdr:to>
      <cdr:x>0.05579</cdr:x>
      <cdr:y>0.34428</cdr:y>
    </cdr:to>
    <cdr:sp macro="" textlink="">
      <cdr:nvSpPr>
        <cdr:cNvPr id="2" name="ZoneTexte 1">
          <a:extLst xmlns:a="http://schemas.openxmlformats.org/drawingml/2006/main">
            <a:ext uri="{FF2B5EF4-FFF2-40B4-BE49-F238E27FC236}">
              <a16:creationId xmlns:a16="http://schemas.microsoft.com/office/drawing/2014/main" id="{A941712C-7028-4231-81FE-CEB53F19D2C1}"/>
            </a:ext>
          </a:extLst>
        </cdr:cNvPr>
        <cdr:cNvSpPr txBox="1"/>
      </cdr:nvSpPr>
      <cdr:spPr>
        <a:xfrm xmlns:a="http://schemas.openxmlformats.org/drawingml/2006/main" rot="16200000">
          <a:off x="-85764" y="824987"/>
          <a:ext cx="867132" cy="3324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1100"/>
            <a:t>Billions of $</a:t>
          </a:r>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AF25BD5-51C7-4A72-A120-942A25A87263}" name="Tair_" displayName="Tair_" ref="B14:C62" totalsRowShown="0" headerRowDxfId="26" headerRowBorderDxfId="25" tableBorderDxfId="24">
  <autoFilter ref="B14:C62" xr:uid="{5458700C-58A1-4AB0-93BE-85D9A3D5CF86}"/>
  <tableColumns count="2">
    <tableColumn id="1" xr3:uid="{7AF46EE4-6A2C-4D11-8311-BE813199EC8B}" name="Année" dataDxfId="23"/>
    <tableColumn id="2" xr3:uid="{952733B6-2872-442C-8506-22FC1B104D9E}" name="TAIR" dataDxfId="2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5515555-128B-42F8-828F-F513B17A7F7B}" name="Ajustement_revenu" displayName="Ajustement_revenu" ref="B9:I65" totalsRowShown="0" headerRowDxfId="21" headerRowBorderDxfId="20" tableBorderDxfId="19">
  <autoFilter ref="B9:I65" xr:uid="{7FECEFE9-A94F-4D5C-9080-A28709FAED1C}"/>
  <tableColumns count="8">
    <tableColumn id="1" xr3:uid="{48DCE41B-0272-4B51-856D-57BB8FE5F97F}" name="Mois Cot." dataDxfId="18"/>
    <tableColumn id="8" xr3:uid="{7524F865-65FF-4F5B-A92A-032C5B01580D}" name="Adm." dataDxfId="17">
      <calculatedColumnFormula>IF(Ajustement_revenu[[#This Row],[Revenus admissibles]]=Ajustement_revenu[[#This Row],[MGA]],1,0)</calculatedColumnFormula>
    </tableColumn>
    <tableColumn id="2" xr3:uid="{B67FC49E-C817-4C1E-BEBE-9D021B7A1B7C}" name="Année" dataDxfId="16"/>
    <tableColumn id="3" xr3:uid="{8B9B91D7-D33C-4821-A968-52AC630CB648}" name="MGA" dataDxfId="15"/>
    <tableColumn id="4" xr3:uid="{DC0EAA83-BB83-4DAC-A260-24255EF169CC}" name="Exemption" dataDxfId="14"/>
    <tableColumn id="5" xr3:uid="{862F6C4A-E6E9-4714-88DE-6DBEA5E8AFBD}" name="Revenus admissibles" dataDxfId="13"/>
    <tableColumn id="6" xr3:uid="{5A31CC64-812B-4433-BBC0-785A1EE46854}" name="Par mois" dataDxfId="12">
      <calculatedColumnFormula>G10/12</calculatedColumnFormula>
    </tableColumn>
    <tableColumn id="7" xr3:uid="{F5108C79-96A4-4B06-B4ED-6F39F76C5298}" name="Revenu de travail annuel réajusté " dataDxfId="11">
      <calculatedColumnFormula>G10*AVERAGE($E$10:$E$16)/E10</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6C96608-1A10-42E6-B510-8818C6A80149}" name="Tableau1" displayName="Tableau1" ref="X10:AD30" totalsRowShown="0" headerRowDxfId="10" headerRowBorderDxfId="9" tableBorderDxfId="8" totalsRowBorderDxfId="7">
  <autoFilter ref="X10:AD30" xr:uid="{4A71B3CE-7747-4C02-B941-DD4984912406}"/>
  <tableColumns count="7">
    <tableColumn id="1" xr3:uid="{4C7FD989-5A2D-48C1-B618-7D64BA88BBD0}" name="Éch." dataDxfId="6"/>
    <tableColumn id="2" xr3:uid="{A0740EE3-54B3-4EDB-9D06-52E2B522DA91}" name="Sal_conven" dataDxfId="5"/>
    <tableColumn id="6" xr3:uid="{9D98F3A9-6DA4-4BBF-84E5-3FFDBF9412BB}" name="Salaire_cotisable" dataDxfId="4">
      <calculatedColumnFormula>Tableau1[[#This Row],[Sal_conven]]*Service</calculatedColumnFormula>
    </tableColumn>
    <tableColumn id="3" xr3:uid="{7C1BCDB5-17C9-4BE3-814B-3C25F98DFB10}" name="Taux" dataDxfId="3">
      <calculatedColumnFormula>IF(Tableau1[[#This Row],[Salaire_cotisable]]&lt;_35__du_MGA,0,(Tableau1[[#This Row],[Salaire_cotisable]]-Exemption)*Taux_de_cotisation)</calculatedColumnFormula>
    </tableColumn>
    <tableColumn id="4" xr3:uid="{2DB1A6B9-4A69-4A1F-B06C-DD7CCD0C5269}" name="Réduction" dataDxfId="2">
      <calculatedColumnFormula>IF(Tableau1[[#This Row],[Salaire_cotisable]]&lt;_35__du_MGA,0,IF(Facteur_de_réduction*((MGA*Service)-Tableau1[[#This Row],[Salaire_cotisable]])&gt;0,Facteur_de_réduction*((MGA*Service)-Tableau1[[#This Row],[Salaire_cotisable]]),0))</calculatedColumnFormula>
    </tableColumn>
    <tableColumn id="5" xr3:uid="{424DDDFE-189B-4368-B9A2-EEC650EF1D31}" name="Cotisation" dataDxfId="1">
      <calculatedColumnFormula>IF(Tableau1[[#This Row],[Salaire_cotisable]]&gt;_35__du_MGA,Tableau1[[#This Row],[Taux]]-Tableau1[[#This Row],[Réduction]],0)</calculatedColumnFormula>
    </tableColumn>
    <tableColumn id="8" xr3:uid="{24F8EC58-4E2E-4D16-80FB-DD229B3109DC}" name="Par paye" dataDxfId="0">
      <calculatedColumnFormula>Tableau1[[#This Row],[Cotisation]]/26</calculatedColumnFormula>
    </tableColumn>
  </tableColumns>
  <tableStyleInfo name="TableStyleMedium14"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arra.gouv.qc.ca/pdf/estimation-rente-nette-f.pdf" TargetMode="External"/><Relationship Id="rId1" Type="http://schemas.openxmlformats.org/officeDocument/2006/relationships/hyperlink" Target="http://www.carra.gouv.qc.ca/fra/regime/rregop/rregop_s15.htm"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file:///C:\Users\pates\AppData\Local\Microsoft\Windows\INetCache\Content.Outlook\8EEP8MM5\Formation%20RREGOP.pptx" TargetMode="External"/><Relationship Id="rId1" Type="http://schemas.openxmlformats.org/officeDocument/2006/relationships/hyperlink" Target="https://www.retraitequebec.gouv.qc.ca/fr/publications/rrsp/rregop/Pages/rregop.aspx" TargetMode="External"/><Relationship Id="rId5" Type="http://schemas.openxmlformats.org/officeDocument/2006/relationships/table" Target="../tables/table3.xml"/><Relationship Id="rId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FF0000"/>
  </sheetPr>
  <dimension ref="A1:B11"/>
  <sheetViews>
    <sheetView zoomScale="85" zoomScaleNormal="85" workbookViewId="0">
      <selection activeCell="H11" sqref="H11"/>
    </sheetView>
  </sheetViews>
  <sheetFormatPr baseColWidth="10" defaultRowHeight="15" x14ac:dyDescent="0.25"/>
  <cols>
    <col min="2" max="2" width="113.7109375" style="254" customWidth="1"/>
  </cols>
  <sheetData>
    <row r="1" spans="1:2" x14ac:dyDescent="0.25">
      <c r="A1" s="50" t="s">
        <v>96</v>
      </c>
    </row>
    <row r="2" spans="1:2" x14ac:dyDescent="0.25">
      <c r="A2" s="5"/>
    </row>
    <row r="3" spans="1:2" ht="21" x14ac:dyDescent="0.25">
      <c r="A3" s="5"/>
      <c r="B3" s="74" t="s">
        <v>49</v>
      </c>
    </row>
    <row r="4" spans="1:2" ht="21" x14ac:dyDescent="0.25">
      <c r="B4" s="74"/>
    </row>
    <row r="5" spans="1:2" ht="21" x14ac:dyDescent="0.25">
      <c r="B5" s="74" t="s">
        <v>294</v>
      </c>
    </row>
    <row r="6" spans="1:2" ht="21" x14ac:dyDescent="0.25">
      <c r="B6" s="74"/>
    </row>
    <row r="7" spans="1:2" ht="63" x14ac:dyDescent="0.25">
      <c r="B7" s="75" t="s">
        <v>295</v>
      </c>
    </row>
    <row r="8" spans="1:2" ht="21" x14ac:dyDescent="0.25">
      <c r="B8" s="74"/>
    </row>
    <row r="9" spans="1:2" ht="105" x14ac:dyDescent="0.25">
      <c r="B9" s="75" t="s">
        <v>296</v>
      </c>
    </row>
    <row r="10" spans="1:2" ht="21" x14ac:dyDescent="0.25">
      <c r="B10" s="74"/>
    </row>
    <row r="11" spans="1:2" ht="63" x14ac:dyDescent="0.25">
      <c r="B11" s="75" t="s">
        <v>297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92D050"/>
  </sheetPr>
  <dimension ref="B1:AK1048567"/>
  <sheetViews>
    <sheetView showGridLines="0" tabSelected="1" zoomScale="115" zoomScaleNormal="115" workbookViewId="0">
      <selection activeCell="D6" sqref="D6"/>
    </sheetView>
  </sheetViews>
  <sheetFormatPr baseColWidth="10" defaultRowHeight="15" x14ac:dyDescent="0.25"/>
  <cols>
    <col min="2" max="2" width="6.7109375" customWidth="1"/>
    <col min="3" max="3" width="7.28515625" customWidth="1"/>
    <col min="4" max="4" width="16.42578125" customWidth="1"/>
    <col min="5" max="5" width="34.5703125" customWidth="1"/>
    <col min="6" max="6" width="14" customWidth="1"/>
    <col min="7" max="7" width="7.7109375" customWidth="1"/>
    <col min="8" max="8" width="10.85546875" customWidth="1"/>
    <col min="9" max="9" width="15.28515625" customWidth="1"/>
    <col min="10" max="10" width="8.28515625" customWidth="1"/>
    <col min="11" max="11" width="4.7109375" customWidth="1"/>
    <col min="12" max="12" width="8.42578125" customWidth="1"/>
    <col min="13" max="13" width="23.7109375" customWidth="1"/>
    <col min="14" max="16" width="12" customWidth="1"/>
    <col min="17" max="17" width="11.28515625" customWidth="1"/>
    <col min="18" max="18" width="10.85546875" customWidth="1"/>
    <col min="19" max="19" width="12.140625" customWidth="1"/>
    <col min="22" max="22" width="14.7109375" bestFit="1" customWidth="1"/>
  </cols>
  <sheetData>
    <row r="1" spans="2:32" ht="15.75" thickBot="1" x14ac:dyDescent="0.3"/>
    <row r="2" spans="2:32" ht="16.5" thickTop="1" thickBot="1" x14ac:dyDescent="0.3">
      <c r="B2" s="233"/>
      <c r="C2" s="224"/>
      <c r="D2" s="224"/>
      <c r="E2" s="224"/>
      <c r="F2" s="224"/>
      <c r="G2" s="224"/>
      <c r="H2" s="224"/>
      <c r="I2" s="224"/>
      <c r="J2" s="224"/>
      <c r="K2" s="224"/>
      <c r="L2" s="224"/>
      <c r="M2" s="224"/>
      <c r="N2" s="224"/>
      <c r="O2" s="224"/>
      <c r="P2" s="224"/>
      <c r="Q2" s="224"/>
      <c r="R2" s="224"/>
      <c r="S2" s="225"/>
    </row>
    <row r="3" spans="2:32" ht="19.5" customHeight="1" thickTop="1" thickBot="1" x14ac:dyDescent="0.35">
      <c r="B3" s="234" t="s">
        <v>96</v>
      </c>
      <c r="C3" s="235"/>
      <c r="D3" s="226"/>
      <c r="E3" s="463" t="s">
        <v>29</v>
      </c>
      <c r="F3" s="464"/>
      <c r="G3" s="464"/>
      <c r="H3" s="464"/>
      <c r="I3" s="464"/>
      <c r="J3" s="464"/>
      <c r="K3" s="464"/>
      <c r="L3" s="465"/>
      <c r="M3" s="226"/>
      <c r="N3" s="226"/>
      <c r="O3" s="226"/>
      <c r="P3" s="226"/>
      <c r="Q3" s="227"/>
      <c r="R3" s="226"/>
      <c r="S3" s="228"/>
      <c r="V3" s="220"/>
    </row>
    <row r="4" spans="2:32" ht="15" customHeight="1" thickTop="1" thickBot="1" x14ac:dyDescent="0.3">
      <c r="B4" s="236"/>
      <c r="C4" s="235"/>
      <c r="D4" s="226"/>
      <c r="E4" s="226"/>
      <c r="F4" s="226"/>
      <c r="G4" s="226"/>
      <c r="H4" s="226"/>
      <c r="I4" s="226"/>
      <c r="J4" s="226"/>
      <c r="K4" s="226"/>
      <c r="L4" s="226"/>
      <c r="M4" s="226"/>
      <c r="N4" s="226"/>
      <c r="O4" s="226"/>
      <c r="P4" s="226"/>
      <c r="Q4" s="227"/>
      <c r="R4" s="226"/>
      <c r="S4" s="228"/>
      <c r="U4" s="5"/>
      <c r="V4" s="220"/>
    </row>
    <row r="5" spans="2:32" ht="15" customHeight="1" thickTop="1" thickBot="1" x14ac:dyDescent="0.3">
      <c r="B5" s="238"/>
      <c r="C5" s="226"/>
      <c r="D5" s="200">
        <v>44401</v>
      </c>
      <c r="E5" s="230" t="str">
        <f>IF(ISNUMBER(Date_retraite),"Date de prise de la retraite  (AAAA-MM-JJ)","Inscrire une date de prise de la retraite valide")</f>
        <v>Date de prise de la retraite  (AAAA-MM-JJ)</v>
      </c>
      <c r="F5" s="226"/>
      <c r="G5" s="226"/>
      <c r="H5" s="226"/>
      <c r="I5" s="237"/>
      <c r="J5" s="226"/>
      <c r="K5" s="226"/>
      <c r="L5" s="226"/>
      <c r="M5" s="226"/>
      <c r="N5" s="226"/>
      <c r="O5" s="226"/>
      <c r="P5" s="227"/>
      <c r="Q5" s="227"/>
      <c r="R5" s="226"/>
      <c r="S5" s="228"/>
      <c r="V5" s="220"/>
    </row>
    <row r="6" spans="2:32" ht="15" customHeight="1" thickTop="1" x14ac:dyDescent="0.25">
      <c r="B6" s="238"/>
      <c r="C6" s="226"/>
      <c r="D6" s="241" t="str">
        <f>IF(ISNUMBER(Date_retraite),"Vous aurez "&amp;D36&amp;" ans et "&amp;D37&amp;" mois lors de la prise de retraite le "&amp;CHOOSE(WEEKDAY(Date_retraite),"dimanche","lundi","mardi","mercredi","jeudi","vendredi","samedi")&amp;" "&amp;DAY(Date_retraite)&amp;" "&amp;CHOOSE(MONTH(Date_retraite),"janvier","février","mars","avril","mai","juin","juillet","août","septembre","octobre","novembre","décembre")&amp;" "&amp;YEAR(Date_retraite),"Inscrire une date de prise de la retraite valide")</f>
        <v>Vous aurez 60 ans et 5 mois lors de la prise de retraite le samedi 24 juillet 2021</v>
      </c>
      <c r="E6" s="226"/>
      <c r="F6" s="226"/>
      <c r="G6" s="226"/>
      <c r="H6" s="226"/>
      <c r="I6" s="226"/>
      <c r="J6" s="226"/>
      <c r="K6" s="226"/>
      <c r="L6" s="226"/>
      <c r="M6" s="226"/>
      <c r="N6" s="226"/>
      <c r="O6" s="226"/>
      <c r="P6" s="227"/>
      <c r="Q6" s="227"/>
      <c r="R6" s="226"/>
      <c r="S6" s="228"/>
      <c r="U6" s="5"/>
      <c r="V6" s="220"/>
      <c r="AF6" s="8"/>
    </row>
    <row r="7" spans="2:32" ht="15" customHeight="1" thickBot="1" x14ac:dyDescent="0.3">
      <c r="B7" s="238"/>
      <c r="C7" s="226"/>
      <c r="D7" s="226"/>
      <c r="E7" s="226"/>
      <c r="F7" s="226"/>
      <c r="G7" s="226"/>
      <c r="H7" s="226"/>
      <c r="I7" s="237"/>
      <c r="J7" s="226"/>
      <c r="K7" s="226"/>
      <c r="L7" s="226"/>
      <c r="M7" s="226"/>
      <c r="N7" s="226"/>
      <c r="O7" s="226"/>
      <c r="P7" s="227"/>
      <c r="Q7" s="227"/>
      <c r="R7" s="226"/>
      <c r="S7" s="228"/>
      <c r="V7" s="220"/>
      <c r="AF7" s="8"/>
    </row>
    <row r="8" spans="2:32" ht="15" customHeight="1" thickTop="1" thickBot="1" x14ac:dyDescent="0.3">
      <c r="B8" s="238"/>
      <c r="C8" s="226"/>
      <c r="D8" s="65">
        <v>22323</v>
      </c>
      <c r="E8" s="230" t="s">
        <v>32</v>
      </c>
      <c r="F8" s="226"/>
      <c r="G8" s="226"/>
      <c r="H8" s="226"/>
      <c r="I8" s="226"/>
      <c r="J8" s="226"/>
      <c r="K8" s="226"/>
      <c r="L8" s="226"/>
      <c r="M8" s="226"/>
      <c r="N8" s="226"/>
      <c r="O8" s="226"/>
      <c r="P8" s="227"/>
      <c r="Q8" s="227"/>
      <c r="R8" s="226"/>
      <c r="S8" s="228"/>
      <c r="U8" s="5"/>
      <c r="V8" s="220"/>
      <c r="AF8" s="8"/>
    </row>
    <row r="9" spans="2:32" ht="15" customHeight="1" thickTop="1" thickBot="1" x14ac:dyDescent="0.3">
      <c r="B9" s="238"/>
      <c r="C9" s="226"/>
      <c r="D9" s="21">
        <v>20</v>
      </c>
      <c r="E9" s="230" t="s">
        <v>1</v>
      </c>
      <c r="F9" s="226"/>
      <c r="G9" s="226"/>
      <c r="H9" s="226"/>
      <c r="I9" s="226"/>
      <c r="J9" s="226"/>
      <c r="K9" s="226"/>
      <c r="L9" s="226"/>
      <c r="M9" s="226"/>
      <c r="N9" s="226"/>
      <c r="O9" s="226"/>
      <c r="P9" s="226"/>
      <c r="Q9" s="229"/>
      <c r="R9" s="226"/>
      <c r="S9" s="228"/>
      <c r="V9" s="220"/>
      <c r="AF9" s="8"/>
    </row>
    <row r="10" spans="2:32" ht="15" customHeight="1" thickTop="1" thickBot="1" x14ac:dyDescent="0.3">
      <c r="B10" s="238"/>
      <c r="C10" s="239"/>
      <c r="D10" s="226"/>
      <c r="E10" s="226"/>
      <c r="F10" s="226"/>
      <c r="G10" s="226"/>
      <c r="H10" s="226"/>
      <c r="I10" s="226"/>
      <c r="J10" s="226"/>
      <c r="K10" s="226"/>
      <c r="L10" s="226"/>
      <c r="M10" s="226"/>
      <c r="N10" s="226"/>
      <c r="O10" s="226"/>
      <c r="P10" s="227"/>
      <c r="Q10" s="227"/>
      <c r="R10" s="226"/>
      <c r="S10" s="228"/>
      <c r="U10" s="5"/>
      <c r="V10" s="220"/>
      <c r="AF10" s="8"/>
    </row>
    <row r="11" spans="2:32" ht="15" customHeight="1" thickTop="1" thickBot="1" x14ac:dyDescent="0.3">
      <c r="B11" s="238"/>
      <c r="C11" s="239"/>
      <c r="D11" s="65">
        <v>43465</v>
      </c>
      <c r="E11" s="221" t="s">
        <v>126</v>
      </c>
      <c r="F11" s="235"/>
      <c r="G11" s="226"/>
      <c r="H11" s="226"/>
      <c r="I11" s="226"/>
      <c r="J11" s="226"/>
      <c r="K11" s="226"/>
      <c r="L11" s="226"/>
      <c r="M11" s="226"/>
      <c r="N11" s="226"/>
      <c r="O11" s="226"/>
      <c r="P11" s="227"/>
      <c r="Q11" s="227"/>
      <c r="R11" s="226"/>
      <c r="S11" s="228"/>
      <c r="V11" s="220"/>
      <c r="AF11" s="8"/>
    </row>
    <row r="12" spans="2:32" ht="15" customHeight="1" thickTop="1" thickBot="1" x14ac:dyDescent="0.3">
      <c r="B12" s="238"/>
      <c r="C12" s="239"/>
      <c r="D12" s="3">
        <v>26.995999999999999</v>
      </c>
      <c r="E12" s="222" t="s">
        <v>127</v>
      </c>
      <c r="F12" s="226"/>
      <c r="G12" s="226"/>
      <c r="H12" s="226"/>
      <c r="I12" s="226"/>
      <c r="J12" s="226"/>
      <c r="K12" s="226"/>
      <c r="L12" s="226"/>
      <c r="M12" s="226"/>
      <c r="N12" s="230" t="s">
        <v>7</v>
      </c>
      <c r="O12" s="226"/>
      <c r="P12" s="226"/>
      <c r="Q12" s="226"/>
      <c r="R12" s="226"/>
      <c r="S12" s="228"/>
      <c r="V12" s="220"/>
      <c r="AF12" s="8"/>
    </row>
    <row r="13" spans="2:32" ht="15" customHeight="1" thickTop="1" thickBot="1" x14ac:dyDescent="0.3">
      <c r="B13" s="238"/>
      <c r="C13" s="226"/>
      <c r="D13" s="3">
        <v>26.242999999999999</v>
      </c>
      <c r="E13" s="223" t="s">
        <v>128</v>
      </c>
      <c r="F13" s="226"/>
      <c r="G13" s="226"/>
      <c r="H13" s="226"/>
      <c r="I13" s="226"/>
      <c r="J13" s="226"/>
      <c r="K13" s="226"/>
      <c r="L13" s="466" t="s">
        <v>15</v>
      </c>
      <c r="M13" s="467"/>
      <c r="N13" s="467"/>
      <c r="O13" s="467"/>
      <c r="P13" s="467"/>
      <c r="Q13" s="468"/>
      <c r="R13" s="226"/>
      <c r="S13" s="228"/>
      <c r="V13" s="220"/>
      <c r="AF13" s="8"/>
    </row>
    <row r="14" spans="2:32" ht="15" customHeight="1" thickTop="1" thickBot="1" x14ac:dyDescent="0.3">
      <c r="B14" s="238"/>
      <c r="C14" s="240" t="s">
        <v>33</v>
      </c>
      <c r="D14" s="226"/>
      <c r="E14" s="226"/>
      <c r="F14" s="226"/>
      <c r="G14" s="226"/>
      <c r="H14" s="226"/>
      <c r="I14" s="226"/>
      <c r="J14" s="226"/>
      <c r="K14" s="242" t="s">
        <v>33</v>
      </c>
      <c r="L14" s="207" t="s">
        <v>3</v>
      </c>
      <c r="M14" s="208" t="s">
        <v>5</v>
      </c>
      <c r="N14" s="210" t="s">
        <v>121</v>
      </c>
      <c r="O14" s="211" t="s">
        <v>120</v>
      </c>
      <c r="P14" s="211" t="s">
        <v>119</v>
      </c>
      <c r="Q14" s="209" t="s">
        <v>90</v>
      </c>
      <c r="R14" s="226"/>
      <c r="S14" s="228"/>
      <c r="V14" s="220"/>
      <c r="AF14" s="8"/>
    </row>
    <row r="15" spans="2:32" ht="15" customHeight="1" thickTop="1" thickBot="1" x14ac:dyDescent="0.3">
      <c r="B15" s="238"/>
      <c r="C15" s="64"/>
      <c r="D15" s="462">
        <f>IF(C15="",ROUND((((Date_retraite-D11)/365.25)+D12),3),C15)</f>
        <v>29.559000000000001</v>
      </c>
      <c r="E15" s="230" t="s">
        <v>31</v>
      </c>
      <c r="F15" s="226"/>
      <c r="G15" s="226"/>
      <c r="H15" s="226"/>
      <c r="I15" s="226"/>
      <c r="J15" s="226"/>
      <c r="K15" s="61"/>
      <c r="L15" s="10">
        <f t="shared" ref="L15:L20" si="0">IF(K15="",Echelon,K15)</f>
        <v>20</v>
      </c>
      <c r="M15" s="201">
        <f>DATE(YEAR(M16)-1,MONTH(M16),DAY(M16))</f>
        <v>42575</v>
      </c>
      <c r="N15" s="205">
        <f t="shared" ref="N15:N20" si="1">IF(Q15="",VLOOKUP(L15,Salaire_10_20,HLOOKUP(("1 janvier "&amp;YEAR(M15))*1,Date_salaire_colonne,2,TRUE),FALSE),Q15)</f>
        <v>80279</v>
      </c>
      <c r="O15" s="212">
        <f t="shared" ref="O15:O20" si="2">IF(Q15="",VLOOKUP(L15,Salaire_10_20,HLOOKUP(("2 avril "&amp;YEAR(M15))*1,Date_salaire_colonne,2,TRUE),FALSE),Q15)</f>
        <v>81483</v>
      </c>
      <c r="P15" s="213">
        <f>IF(DAY(Date_retraite)&gt;=15,IF(MONTH(Date_retraite)&lt;4,(3-MONTH(Date_retraite))*N15/12+9*O15/12,(12-MONTH(Date_retraite))*O15/12),IF(MONTH(Date_retraite)&lt;4,(4-MONTH(Date_retraite))*N15/12+9*O15/12,(13-MONTH(Date_retraite))*O15/12))</f>
        <v>33951.25</v>
      </c>
      <c r="Q15" s="206"/>
      <c r="R15" s="226"/>
      <c r="S15" s="228"/>
      <c r="V15" s="220"/>
      <c r="AF15" s="8"/>
    </row>
    <row r="16" spans="2:32" ht="15" customHeight="1" thickTop="1" thickBot="1" x14ac:dyDescent="0.3">
      <c r="B16" s="238"/>
      <c r="C16" s="64"/>
      <c r="D16" s="462">
        <f>IF(C16&gt;=40,40,IF(C16="",IF(ROUND((((Date_retraite-D11)/365.25)+D13),3)&gt;=40,40,ROUND((((Date_retraite-D11)/365.25)+D13),3)),C16))</f>
        <v>28.806000000000001</v>
      </c>
      <c r="E16" s="241" t="s">
        <v>30</v>
      </c>
      <c r="F16" s="226"/>
      <c r="G16" s="243"/>
      <c r="H16" s="243"/>
      <c r="I16" s="226"/>
      <c r="J16" s="230">
        <v>1</v>
      </c>
      <c r="K16" s="62" t="str">
        <f>IF(K15="","",K15)</f>
        <v/>
      </c>
      <c r="L16" s="1">
        <f t="shared" si="0"/>
        <v>20</v>
      </c>
      <c r="M16" s="202">
        <f>DATE(YEAR(M17)-1,MONTH(M17),DAY(M17))</f>
        <v>42940</v>
      </c>
      <c r="N16" s="214">
        <f t="shared" si="1"/>
        <v>81483</v>
      </c>
      <c r="O16" s="215">
        <f t="shared" si="2"/>
        <v>82909</v>
      </c>
      <c r="P16" s="216">
        <f>N16/12*3+O16/12*9</f>
        <v>82552.5</v>
      </c>
      <c r="Q16" s="102"/>
      <c r="R16" s="226"/>
      <c r="S16" s="228"/>
      <c r="AF16" s="8"/>
    </row>
    <row r="17" spans="2:37" ht="15" customHeight="1" thickTop="1" x14ac:dyDescent="0.25">
      <c r="B17" s="238"/>
      <c r="C17" s="226"/>
      <c r="D17" s="226"/>
      <c r="E17" s="226"/>
      <c r="F17" s="226"/>
      <c r="G17" s="243"/>
      <c r="H17" s="243"/>
      <c r="I17" s="226"/>
      <c r="J17" s="230">
        <v>2</v>
      </c>
      <c r="K17" s="62" t="str">
        <f>IF(K16="","",K16)</f>
        <v/>
      </c>
      <c r="L17" s="1">
        <f t="shared" si="0"/>
        <v>20</v>
      </c>
      <c r="M17" s="202">
        <f>DATE(YEAR(M18)-1,MONTH(M18),DAY(M18))</f>
        <v>43305</v>
      </c>
      <c r="N17" s="214">
        <f t="shared" si="1"/>
        <v>82909</v>
      </c>
      <c r="O17" s="215">
        <f t="shared" si="2"/>
        <v>84567</v>
      </c>
      <c r="P17" s="216">
        <f t="shared" ref="P17:P19" si="3">N17/12*3+O17/12*9</f>
        <v>84152.5</v>
      </c>
      <c r="Q17" s="102"/>
      <c r="R17" s="226"/>
      <c r="S17" s="228"/>
      <c r="AF17" s="8"/>
    </row>
    <row r="18" spans="2:37" ht="15" customHeight="1" thickBot="1" x14ac:dyDescent="0.3">
      <c r="B18" s="238"/>
      <c r="C18" s="226"/>
      <c r="D18" s="226"/>
      <c r="E18" s="226"/>
      <c r="F18" s="226"/>
      <c r="G18" s="226"/>
      <c r="H18" s="226"/>
      <c r="I18" s="226"/>
      <c r="J18" s="230">
        <v>3</v>
      </c>
      <c r="K18" s="62" t="str">
        <f>IF(K17="","",K17)</f>
        <v/>
      </c>
      <c r="L18" s="1">
        <f t="shared" si="0"/>
        <v>20</v>
      </c>
      <c r="M18" s="202">
        <f>DATE(YEAR(M19)-1,MONTH(M19),DAY(M19))</f>
        <v>43670</v>
      </c>
      <c r="N18" s="214">
        <f t="shared" si="1"/>
        <v>84567</v>
      </c>
      <c r="O18" s="215">
        <f t="shared" si="2"/>
        <v>91023</v>
      </c>
      <c r="P18" s="216">
        <f t="shared" si="3"/>
        <v>89409</v>
      </c>
      <c r="Q18" s="102"/>
      <c r="R18" s="226"/>
      <c r="S18" s="228"/>
      <c r="AF18" s="8"/>
    </row>
    <row r="19" spans="2:37" ht="15" customHeight="1" thickTop="1" thickBot="1" x14ac:dyDescent="0.3">
      <c r="B19" s="238"/>
      <c r="C19" s="226"/>
      <c r="D19" s="193">
        <f>ROUNDDOWN(Estimation_sans_réduction-Reduction_en_dollars,-2)</f>
        <v>49700</v>
      </c>
      <c r="E19" s="244" t="str">
        <f>IF(Admissible_Oui_ou_Non="non","Vous n'êtes pas admissible","Estimation de la rente arrondie au premier 100 $")</f>
        <v>Estimation de la rente arrondie au premier 100 $</v>
      </c>
      <c r="F19" s="226"/>
      <c r="G19" s="226"/>
      <c r="H19" s="226"/>
      <c r="I19" s="226"/>
      <c r="J19" s="230">
        <v>4</v>
      </c>
      <c r="K19" s="62" t="str">
        <f>IF(K18="","",K18)</f>
        <v/>
      </c>
      <c r="L19" s="1">
        <f t="shared" si="0"/>
        <v>20</v>
      </c>
      <c r="M19" s="202">
        <f>DATE(YEAR(M20)-1,MONTH(M20),DAY(M20))</f>
        <v>44036</v>
      </c>
      <c r="N19" s="214">
        <f t="shared" si="1"/>
        <v>91023</v>
      </c>
      <c r="O19" s="215">
        <f t="shared" si="2"/>
        <v>91023</v>
      </c>
      <c r="P19" s="216">
        <f t="shared" si="3"/>
        <v>91023</v>
      </c>
      <c r="Q19" s="102"/>
      <c r="R19" s="226"/>
      <c r="S19" s="228"/>
      <c r="AF19" s="8"/>
    </row>
    <row r="20" spans="2:37" ht="15" customHeight="1" thickTop="1" thickBot="1" x14ac:dyDescent="0.3">
      <c r="B20" s="238"/>
      <c r="C20" s="226"/>
      <c r="D20" s="226"/>
      <c r="E20" s="226"/>
      <c r="F20" s="226"/>
      <c r="G20" s="226"/>
      <c r="H20" s="245"/>
      <c r="I20" s="226"/>
      <c r="J20" s="230">
        <v>5</v>
      </c>
      <c r="K20" s="63" t="str">
        <f>IF(K19="","",K19)</f>
        <v/>
      </c>
      <c r="L20" s="25">
        <f t="shared" si="0"/>
        <v>20</v>
      </c>
      <c r="M20" s="203">
        <f>Date_retraite</f>
        <v>44401</v>
      </c>
      <c r="N20" s="204">
        <f t="shared" si="1"/>
        <v>91023</v>
      </c>
      <c r="O20" s="217">
        <f t="shared" si="2"/>
        <v>91023</v>
      </c>
      <c r="P20" s="218">
        <f>IF(DAY(Date_retraite)&gt;=15,IF(MONTH(Date_retraite)&lt;4,MONTH(Date_retraite)*N20/12,(3*N20/12)+(MONTH(Date_retraite)-3)*O20/12),IF(MONTH(Date_retraite)&lt;4,(MONTH(Date_retraite)-1)*N20/12,(2*N20/12)+(MONTH(Date_retraite)-3)*O20/12))</f>
        <v>53096.75</v>
      </c>
      <c r="Q20" s="103"/>
      <c r="R20" s="226"/>
      <c r="S20" s="228"/>
      <c r="AF20" s="8"/>
    </row>
    <row r="21" spans="2:37" ht="15" customHeight="1" thickTop="1" thickBot="1" x14ac:dyDescent="0.3">
      <c r="B21" s="238"/>
      <c r="C21" s="226"/>
      <c r="D21" s="190">
        <f>IF(OR(Age_Ret&gt;=55,Admissibilite&gt;=35),IF(Services_calcul&gt;=40,40*2%*Moyenne_salariale,Services_calcul*2%*Moyenne_salariale),0)</f>
        <v>50028.53244000001</v>
      </c>
      <c r="E21" s="246" t="str">
        <f>IF(Admissible_Oui_ou_Non="Non","Vous n'êtes pas admissible",IF(D23&gt;0,"Estimation de la rente sans réduction","Estimation de la rente"))</f>
        <v>Estimation de la rente sans réduction</v>
      </c>
      <c r="F21" s="226"/>
      <c r="G21" s="226"/>
      <c r="H21" s="226"/>
      <c r="I21" s="226"/>
      <c r="J21" s="226"/>
      <c r="K21" s="226"/>
      <c r="L21" s="226"/>
      <c r="M21" s="226"/>
      <c r="N21" s="250"/>
      <c r="O21" s="251" t="s">
        <v>14</v>
      </c>
      <c r="P21" s="219">
        <f>SUM(P15:P20)/5</f>
        <v>86837</v>
      </c>
      <c r="Q21" s="252"/>
      <c r="R21" s="226"/>
      <c r="S21" s="228"/>
    </row>
    <row r="22" spans="2:37" ht="15" customHeight="1" thickTop="1" thickBot="1" x14ac:dyDescent="0.3">
      <c r="B22" s="238"/>
      <c r="C22" s="226"/>
      <c r="D22" s="249"/>
      <c r="E22" s="226"/>
      <c r="F22" s="226"/>
      <c r="G22" s="226"/>
      <c r="H22" s="237"/>
      <c r="I22" s="226"/>
      <c r="J22" s="226"/>
      <c r="K22" s="226"/>
      <c r="L22" s="226"/>
      <c r="M22" s="226"/>
      <c r="N22" s="226"/>
      <c r="O22" s="226"/>
      <c r="P22" s="226"/>
      <c r="Q22" s="226"/>
      <c r="R22" s="226"/>
      <c r="S22" s="228"/>
    </row>
    <row r="23" spans="2:37" ht="15" customHeight="1" thickTop="1" thickBot="1" x14ac:dyDescent="0.3">
      <c r="B23" s="238"/>
      <c r="C23" s="226"/>
      <c r="D23" s="197">
        <f>Critère_retenu</f>
        <v>1</v>
      </c>
      <c r="E23" s="226" t="str">
        <f>IF(Admissible_Oui_ou_Non="Non","Vous n'êtes pas admissible",IF(D23&gt;0,"Mois d'anticipation: 1 jour = 1 mois à 0,5 % par mois","La rente n'est pas anticipée"))</f>
        <v>Mois d'anticipation: 1 jour = 1 mois à 0,5 % par mois</v>
      </c>
      <c r="F23" s="226"/>
      <c r="G23" s="226"/>
      <c r="H23" s="226"/>
      <c r="I23" s="226"/>
      <c r="J23" s="226"/>
      <c r="K23" s="226"/>
      <c r="L23" s="226"/>
      <c r="M23" s="226"/>
      <c r="N23" s="226"/>
      <c r="O23" s="226"/>
      <c r="P23" s="226"/>
      <c r="Q23" s="226"/>
      <c r="R23" s="226"/>
      <c r="S23" s="228"/>
    </row>
    <row r="24" spans="2:37" ht="15" customHeight="1" thickTop="1" thickBot="1" x14ac:dyDescent="0.3">
      <c r="B24" s="238"/>
      <c r="C24" s="226"/>
      <c r="D24" s="249"/>
      <c r="E24" s="226"/>
      <c r="F24" s="226"/>
      <c r="G24" s="226"/>
      <c r="H24" s="237"/>
      <c r="I24" s="226"/>
      <c r="J24" s="226"/>
      <c r="K24" s="226"/>
      <c r="L24" s="226"/>
      <c r="M24" s="469" t="s">
        <v>129</v>
      </c>
      <c r="N24" s="469"/>
      <c r="O24" s="226"/>
      <c r="P24" s="226"/>
      <c r="Q24" s="226"/>
      <c r="R24" s="226"/>
      <c r="S24" s="228"/>
    </row>
    <row r="25" spans="2:37" ht="15" customHeight="1" thickTop="1" thickBot="1" x14ac:dyDescent="0.3">
      <c r="B25" s="238"/>
      <c r="C25" s="226"/>
      <c r="D25" s="198">
        <f>D23*0.5/100</f>
        <v>5.0000000000000001E-3</v>
      </c>
      <c r="E25" s="226" t="str">
        <f>IF(Admissible_Oui_ou_Non="Non","Vous n'êtes pas admissible",IF(Reduction&gt;0,"Pourcentage de réduction de la rente due à l'anticipation",""))</f>
        <v>Pourcentage de réduction de la rente due à l'anticipation</v>
      </c>
      <c r="F25" s="247"/>
      <c r="G25" s="226"/>
      <c r="H25" s="226"/>
      <c r="I25" s="226"/>
      <c r="J25" s="226"/>
      <c r="K25" s="226"/>
      <c r="L25" s="226"/>
      <c r="M25" s="470"/>
      <c r="N25" s="470"/>
      <c r="O25" s="226"/>
      <c r="P25" s="226"/>
      <c r="Q25" s="226"/>
      <c r="R25" s="226"/>
      <c r="S25" s="228"/>
      <c r="U25" s="8"/>
    </row>
    <row r="26" spans="2:37" ht="15" customHeight="1" thickTop="1" thickBot="1" x14ac:dyDescent="0.3">
      <c r="B26" s="238"/>
      <c r="C26" s="226"/>
      <c r="D26" s="249"/>
      <c r="E26" s="226"/>
      <c r="F26" s="226"/>
      <c r="G26" s="247"/>
      <c r="H26" s="226"/>
      <c r="I26" s="226"/>
      <c r="J26" s="226"/>
      <c r="K26" s="226"/>
      <c r="L26" s="230">
        <v>1</v>
      </c>
      <c r="M26" s="45">
        <f>M15</f>
        <v>42575</v>
      </c>
      <c r="N26" s="104"/>
      <c r="O26" s="226"/>
      <c r="P26" s="226"/>
      <c r="Q26" s="226"/>
      <c r="R26" s="226"/>
      <c r="S26" s="228"/>
    </row>
    <row r="27" spans="2:37" ht="15" customHeight="1" thickTop="1" thickBot="1" x14ac:dyDescent="0.3">
      <c r="B27" s="238"/>
      <c r="C27" s="226"/>
      <c r="D27" s="199">
        <f>Estimation_sans_réduction-Estimation_sans_réduction*(1-Reduction)</f>
        <v>250.1426621999999</v>
      </c>
      <c r="E27" s="226" t="str">
        <f>IF(Admissible_Oui_ou_Non="Non","Vous n'êtes pas admissible",IF(D27&gt;0,"Réduction de la rente",""))</f>
        <v>Réduction de la rente</v>
      </c>
      <c r="F27" s="226"/>
      <c r="G27" s="247"/>
      <c r="H27" s="226"/>
      <c r="I27" s="226"/>
      <c r="J27" s="226"/>
      <c r="K27" s="226"/>
      <c r="L27" s="230">
        <v>2</v>
      </c>
      <c r="M27" s="46">
        <f>M16</f>
        <v>42940</v>
      </c>
      <c r="N27" s="105"/>
      <c r="O27" s="226"/>
      <c r="P27" s="226"/>
      <c r="Q27" s="226"/>
      <c r="R27" s="226"/>
      <c r="S27" s="228"/>
      <c r="AG27" s="38"/>
      <c r="AH27" s="38"/>
      <c r="AI27" s="38"/>
      <c r="AJ27" s="38"/>
      <c r="AK27" s="38"/>
    </row>
    <row r="28" spans="2:37" ht="15" customHeight="1" thickTop="1" thickBot="1" x14ac:dyDescent="0.3">
      <c r="B28" s="238"/>
      <c r="C28" s="226"/>
      <c r="D28" s="249"/>
      <c r="E28" s="226"/>
      <c r="F28" s="226"/>
      <c r="G28" s="247"/>
      <c r="H28" s="226"/>
      <c r="I28" s="226"/>
      <c r="J28" s="226"/>
      <c r="K28" s="226"/>
      <c r="L28" s="230">
        <v>3</v>
      </c>
      <c r="M28" s="46">
        <f>M17</f>
        <v>43305</v>
      </c>
      <c r="N28" s="106"/>
      <c r="O28" s="226"/>
      <c r="P28" s="226"/>
      <c r="Q28" s="226"/>
      <c r="R28" s="226"/>
      <c r="S28" s="228"/>
      <c r="AG28" s="38"/>
      <c r="AH28" s="38"/>
      <c r="AI28" s="38"/>
      <c r="AJ28" s="38"/>
      <c r="AK28" s="38"/>
    </row>
    <row r="29" spans="2:37" ht="15" customHeight="1" thickTop="1" thickBot="1" x14ac:dyDescent="0.3">
      <c r="B29" s="238"/>
      <c r="C29" s="226"/>
      <c r="D29" s="191">
        <f>IF(Moyenne_salariale=0,0,Estimation/Moyenne_salariale)</f>
        <v>0.57233667676220967</v>
      </c>
      <c r="E29" s="226" t="str">
        <f>IF(Admissible_Oui_ou_Non="Non","Vous n'êtes pas admissible","Poucentage de la moyenne des 5 meilleures années")</f>
        <v>Poucentage de la moyenne des 5 meilleures années</v>
      </c>
      <c r="F29" s="226"/>
      <c r="G29" s="226"/>
      <c r="H29" s="226"/>
      <c r="I29" s="226"/>
      <c r="J29" s="226"/>
      <c r="K29" s="226"/>
      <c r="L29" s="230">
        <v>4</v>
      </c>
      <c r="M29" s="46">
        <f>M18</f>
        <v>43670</v>
      </c>
      <c r="N29" s="106"/>
      <c r="O29" s="226"/>
      <c r="P29" s="226"/>
      <c r="Q29" s="226"/>
      <c r="R29" s="226"/>
      <c r="S29" s="228"/>
      <c r="AG29" s="38"/>
      <c r="AH29" s="38"/>
      <c r="AI29" s="38"/>
      <c r="AJ29" s="38"/>
      <c r="AK29" s="38"/>
    </row>
    <row r="30" spans="2:37" ht="15" customHeight="1" thickTop="1" thickBot="1" x14ac:dyDescent="0.3">
      <c r="B30" s="238"/>
      <c r="C30" s="226"/>
      <c r="D30" s="249"/>
      <c r="E30" s="226"/>
      <c r="F30" s="226"/>
      <c r="G30" s="226"/>
      <c r="H30" s="226"/>
      <c r="I30" s="226"/>
      <c r="J30" s="226"/>
      <c r="K30" s="226"/>
      <c r="L30" s="230">
        <v>5</v>
      </c>
      <c r="M30" s="47">
        <f>M19</f>
        <v>44036</v>
      </c>
      <c r="N30" s="107"/>
      <c r="O30" s="226"/>
      <c r="P30" s="226"/>
      <c r="Q30" s="226"/>
      <c r="R30" s="226"/>
      <c r="S30" s="228"/>
    </row>
    <row r="31" spans="2:37" ht="15" customHeight="1" thickTop="1" thickBot="1" x14ac:dyDescent="0.3">
      <c r="B31" s="238"/>
      <c r="C31" s="226"/>
      <c r="D31" s="192">
        <f>IF(I37="non",0,IF(Moyenne_manuelle="",Moyenne_automatique,Moyenne_manuelle))</f>
        <v>86837</v>
      </c>
      <c r="E31" s="241" t="str">
        <f>IF(Admissible_Oui_ou_Non="Non","Vous n'êtes pas admissible",IF(Moyenne_manuelle="","Moyenne des salaires conventionnés des 60 derniers mois précédant la prise de retraite","Moyenne des 5 meilleures années"))</f>
        <v>Moyenne des salaires conventionnés des 60 derniers mois précédant la prise de retraite</v>
      </c>
      <c r="F31" s="226"/>
      <c r="G31" s="226"/>
      <c r="H31" s="226"/>
      <c r="I31" s="226"/>
      <c r="J31" s="226"/>
      <c r="K31" s="226"/>
      <c r="L31" s="226"/>
      <c r="M31" s="242" t="s">
        <v>14</v>
      </c>
      <c r="N31" s="108" t="str">
        <f>IF(SUM(N26:N30)&gt;5,SUM(N26:N30)/5,"")</f>
        <v/>
      </c>
      <c r="O31" s="226"/>
      <c r="P31" s="226"/>
      <c r="Q31" s="226"/>
      <c r="R31" s="226"/>
      <c r="S31" s="228"/>
    </row>
    <row r="32" spans="2:37" ht="15" customHeight="1" thickTop="1" x14ac:dyDescent="0.25">
      <c r="B32" s="238"/>
      <c r="C32" s="226"/>
      <c r="D32" s="249"/>
      <c r="E32" s="226"/>
      <c r="F32" s="226"/>
      <c r="G32" s="226"/>
      <c r="H32" s="226"/>
      <c r="I32" s="226"/>
      <c r="J32" s="226"/>
      <c r="K32" s="226"/>
      <c r="L32" s="226"/>
      <c r="M32" s="226"/>
      <c r="N32" s="226"/>
      <c r="O32" s="226"/>
      <c r="P32" s="226"/>
      <c r="Q32" s="226"/>
      <c r="R32" s="226"/>
      <c r="S32" s="228"/>
    </row>
    <row r="33" spans="2:19" ht="15" customHeight="1" thickBot="1" x14ac:dyDescent="0.3">
      <c r="B33" s="238"/>
      <c r="C33" s="226"/>
      <c r="D33" s="226"/>
      <c r="E33" s="226"/>
      <c r="F33" s="226"/>
      <c r="G33" s="226"/>
      <c r="H33" s="226"/>
      <c r="I33" s="226"/>
      <c r="J33" s="226"/>
      <c r="K33" s="226"/>
      <c r="L33" s="226"/>
      <c r="M33" s="253"/>
      <c r="N33" s="226"/>
      <c r="O33" s="226"/>
      <c r="P33" s="226"/>
      <c r="Q33" s="226"/>
      <c r="R33" s="226"/>
      <c r="S33" s="228"/>
    </row>
    <row r="34" spans="2:19" ht="15" customHeight="1" thickTop="1" x14ac:dyDescent="0.25">
      <c r="B34" s="238"/>
      <c r="C34" s="51"/>
      <c r="D34" s="52"/>
      <c r="E34" s="52"/>
      <c r="F34" s="131"/>
      <c r="G34" s="132"/>
      <c r="H34" s="132"/>
      <c r="I34" s="132"/>
      <c r="J34" s="139"/>
      <c r="K34" s="226"/>
      <c r="L34" s="226"/>
      <c r="M34" s="226"/>
      <c r="N34" s="226"/>
      <c r="O34" s="226"/>
      <c r="P34" s="226"/>
      <c r="Q34" s="226"/>
      <c r="R34" s="226"/>
      <c r="S34" s="228"/>
    </row>
    <row r="35" spans="2:19" ht="15" customHeight="1" thickBot="1" x14ac:dyDescent="0.3">
      <c r="B35" s="238"/>
      <c r="C35" s="53"/>
      <c r="D35" s="60" t="s">
        <v>27</v>
      </c>
      <c r="E35" s="54"/>
      <c r="F35" s="133" t="s">
        <v>26</v>
      </c>
      <c r="G35" s="134"/>
      <c r="H35" s="134"/>
      <c r="I35" s="134"/>
      <c r="J35" s="140"/>
      <c r="K35" s="226"/>
      <c r="L35" s="226"/>
      <c r="M35" s="226"/>
      <c r="N35" s="226"/>
      <c r="O35" s="226"/>
      <c r="P35" s="226"/>
      <c r="Q35" s="226"/>
      <c r="R35" s="226"/>
      <c r="S35" s="228"/>
    </row>
    <row r="36" spans="2:19" ht="15" customHeight="1" thickTop="1" thickBot="1" x14ac:dyDescent="0.3">
      <c r="B36" s="238"/>
      <c r="C36" s="53"/>
      <c r="D36" s="42">
        <f>IF(AND(MONTH(Date_Naissance)=MONTH(Date_retraite),DAY(Date_Naissance)&gt;DAY(Date_retraite)),YEAR(Date_retraite)-YEAR(Date_Naissance)-1,IF(MONTH(Date_Naissance)&gt;MONTH(Date_retraite),YEAR(Date_retraite)-YEAR(Date_Naissance)-1,(YEAR(Date_retraite)-YEAR(Date_Naissance))))</f>
        <v>60</v>
      </c>
      <c r="E36" s="54" t="s">
        <v>12</v>
      </c>
      <c r="F36" s="135"/>
      <c r="G36" s="134"/>
      <c r="H36" s="134"/>
      <c r="I36" s="141" t="s">
        <v>17</v>
      </c>
      <c r="J36" s="140"/>
      <c r="K36" s="226"/>
      <c r="L36" s="226"/>
      <c r="M36" s="226"/>
      <c r="N36" s="226"/>
      <c r="O36" s="226"/>
      <c r="P36" s="226"/>
      <c r="Q36" s="226"/>
      <c r="R36" s="226"/>
      <c r="S36" s="228"/>
    </row>
    <row r="37" spans="2:19" ht="15" customHeight="1" thickTop="1" thickBot="1" x14ac:dyDescent="0.3">
      <c r="B37" s="238"/>
      <c r="C37" s="53"/>
      <c r="D37" s="42">
        <f>IF(MONTH(Date_Naissance)=MONTH(Date_retraite),IF(DAY(Date_retraite)&lt;DAY(Date_Naissance),11,0),IF(MONTH(Date_retraite)&gt;=MONTH(Date_Naissance),MONTH(Date_retraite)-MONTH(Date_Naissance),12+MONTH(Date_retraite)-MONTH(Date_Naissance)))</f>
        <v>5</v>
      </c>
      <c r="E37" s="54" t="s">
        <v>11</v>
      </c>
      <c r="F37" s="135"/>
      <c r="G37" s="134"/>
      <c r="H37" s="136" t="s">
        <v>23</v>
      </c>
      <c r="I37" s="4" t="str">
        <f>IF(AND(Age_Ret&lt;55,Admissibilite&gt;=35),"Oui",IF(Age_Ret&gt;=55,"Oui","Non"))</f>
        <v>Oui</v>
      </c>
      <c r="J37" s="140"/>
      <c r="K37" s="226"/>
      <c r="L37" s="226"/>
      <c r="M37" s="237"/>
      <c r="N37" s="226"/>
      <c r="O37" s="226"/>
      <c r="P37" s="226"/>
      <c r="Q37" s="226"/>
      <c r="R37" s="226"/>
      <c r="S37" s="228"/>
    </row>
    <row r="38" spans="2:19" ht="15" customHeight="1" thickTop="1" thickBot="1" x14ac:dyDescent="0.3">
      <c r="B38" s="238"/>
      <c r="C38" s="53"/>
      <c r="D38" s="36">
        <f>D36+D37/12</f>
        <v>60.416666666666664</v>
      </c>
      <c r="E38" s="54" t="s">
        <v>22</v>
      </c>
      <c r="F38" s="135"/>
      <c r="G38" s="134"/>
      <c r="H38" s="136" t="s">
        <v>16</v>
      </c>
      <c r="I38" s="42">
        <f>ROUNDUP(IF(Admissibilite&gt;=35,0,(35-Admissibilite)*12),0)</f>
        <v>66</v>
      </c>
      <c r="J38" s="140"/>
      <c r="K38" s="226"/>
      <c r="L38" s="226"/>
      <c r="M38" s="226"/>
      <c r="N38" s="226"/>
      <c r="O38" s="226"/>
      <c r="P38" s="226"/>
      <c r="Q38" s="226"/>
      <c r="R38" s="226"/>
      <c r="S38" s="228"/>
    </row>
    <row r="39" spans="2:19" ht="15" customHeight="1" thickTop="1" thickBot="1" x14ac:dyDescent="0.3">
      <c r="B39" s="238"/>
      <c r="C39" s="53"/>
      <c r="D39" s="36">
        <f>Admissibilite</f>
        <v>29.559000000000001</v>
      </c>
      <c r="E39" s="54" t="s">
        <v>20</v>
      </c>
      <c r="F39" s="135"/>
      <c r="G39" s="134"/>
      <c r="H39" s="136" t="s">
        <v>28</v>
      </c>
      <c r="I39" s="43">
        <f>IF(Age_Ret&gt;=60,ROUNDUP((IF(Age_Ret+Admissibilite&gt;=90,0,((90-Age_Ret-Admissibilite)*12)/2)),0),IF(D42&lt;30,(((30-D42)*12)/2+D43),D43))</f>
        <v>1</v>
      </c>
      <c r="J39" s="140"/>
      <c r="K39" s="226"/>
      <c r="L39" s="226"/>
      <c r="M39" s="226"/>
      <c r="N39" s="226"/>
      <c r="O39" s="226"/>
      <c r="P39" s="226"/>
      <c r="Q39" s="226"/>
      <c r="R39" s="226"/>
      <c r="S39" s="228"/>
    </row>
    <row r="40" spans="2:19" ht="15" customHeight="1" thickTop="1" thickBot="1" x14ac:dyDescent="0.3">
      <c r="B40" s="238"/>
      <c r="C40" s="53"/>
      <c r="D40" s="43">
        <f>ROUNDDOWN(D39,0)</f>
        <v>29</v>
      </c>
      <c r="E40" s="54" t="s">
        <v>20</v>
      </c>
      <c r="F40" s="135"/>
      <c r="G40" s="134"/>
      <c r="H40" s="136" t="s">
        <v>19</v>
      </c>
      <c r="I40" s="4">
        <f>IF(Age_Ret&gt;=61,0,(61-Age_Ret)*12)</f>
        <v>7.0000000000000284</v>
      </c>
      <c r="J40" s="140"/>
      <c r="K40" s="226"/>
      <c r="L40" s="226"/>
      <c r="M40" s="253"/>
      <c r="N40" s="226"/>
      <c r="O40" s="226"/>
      <c r="P40" s="226"/>
      <c r="Q40" s="226"/>
      <c r="R40" s="226"/>
      <c r="S40" s="228"/>
    </row>
    <row r="41" spans="2:19" ht="15" customHeight="1" thickTop="1" thickBot="1" x14ac:dyDescent="0.3">
      <c r="B41" s="238"/>
      <c r="C41" s="53"/>
      <c r="D41" s="4">
        <f>ROUNDDOWN((D39-ROUNDDOWN(D39,0))*12,0)</f>
        <v>6</v>
      </c>
      <c r="E41" s="54" t="s">
        <v>298</v>
      </c>
      <c r="F41" s="135"/>
      <c r="G41" s="461"/>
      <c r="H41" s="461"/>
      <c r="I41" s="461"/>
      <c r="J41" s="140"/>
      <c r="K41" s="226"/>
      <c r="L41" s="226"/>
      <c r="M41" s="226"/>
      <c r="N41" s="226"/>
      <c r="O41" s="226"/>
      <c r="P41" s="226"/>
      <c r="Q41" s="226"/>
      <c r="R41" s="226"/>
      <c r="S41" s="228"/>
    </row>
    <row r="42" spans="2:19" ht="15" customHeight="1" thickTop="1" thickBot="1" x14ac:dyDescent="0.3">
      <c r="B42" s="238"/>
      <c r="C42" s="53"/>
      <c r="D42" s="58">
        <f>Admissibilite+D43/12</f>
        <v>29.559000000000001</v>
      </c>
      <c r="E42" s="54" t="s">
        <v>24</v>
      </c>
      <c r="F42" s="135"/>
      <c r="G42" s="134"/>
      <c r="H42" s="136" t="s">
        <v>18</v>
      </c>
      <c r="I42" s="42">
        <f>IF(I37="Oui",MIN(I38:I40),0)</f>
        <v>1</v>
      </c>
      <c r="J42" s="140"/>
      <c r="K42" s="226"/>
      <c r="L42" s="226"/>
      <c r="M42" s="226"/>
      <c r="N42" s="226"/>
      <c r="O42" s="226"/>
      <c r="P42" s="226"/>
      <c r="Q42" s="226"/>
      <c r="R42" s="226"/>
      <c r="S42" s="228"/>
    </row>
    <row r="43" spans="2:19" ht="15" customHeight="1" thickTop="1" thickBot="1" x14ac:dyDescent="0.3">
      <c r="B43" s="238"/>
      <c r="C43" s="53"/>
      <c r="D43" s="4">
        <f>IF((60-Age_Ret)*12&lt;0,0,60-Age_Ret)*12</f>
        <v>0</v>
      </c>
      <c r="E43" s="59" t="s">
        <v>25</v>
      </c>
      <c r="F43" s="135"/>
      <c r="G43" s="461"/>
      <c r="H43" s="461"/>
      <c r="I43" s="461"/>
      <c r="J43" s="140"/>
      <c r="K43" s="226"/>
      <c r="L43" s="226"/>
      <c r="M43" s="226"/>
      <c r="N43" s="226"/>
      <c r="O43" s="226"/>
      <c r="P43" s="226"/>
      <c r="Q43" s="226"/>
      <c r="R43" s="226"/>
      <c r="S43" s="228"/>
    </row>
    <row r="44" spans="2:19" ht="15" customHeight="1" thickTop="1" thickBot="1" x14ac:dyDescent="0.3">
      <c r="B44" s="238"/>
      <c r="C44" s="55"/>
      <c r="D44" s="56"/>
      <c r="E44" s="57"/>
      <c r="F44" s="137"/>
      <c r="G44" s="138"/>
      <c r="H44" s="138"/>
      <c r="I44" s="138"/>
      <c r="J44" s="142"/>
      <c r="K44" s="226"/>
      <c r="L44" s="226"/>
      <c r="M44" s="226"/>
      <c r="N44" s="226"/>
      <c r="O44" s="226"/>
      <c r="P44" s="226"/>
      <c r="Q44" s="226"/>
      <c r="R44" s="226"/>
      <c r="S44" s="228"/>
    </row>
    <row r="45" spans="2:19" ht="15" customHeight="1" thickTop="1" x14ac:dyDescent="0.25">
      <c r="B45" s="238"/>
      <c r="C45" s="226"/>
      <c r="D45" s="226"/>
      <c r="E45" s="226"/>
      <c r="F45" s="226"/>
      <c r="G45" s="226"/>
      <c r="H45" s="226"/>
      <c r="I45" s="226"/>
      <c r="J45" s="226"/>
      <c r="K45" s="226"/>
      <c r="L45" s="226"/>
      <c r="M45" s="226"/>
      <c r="N45" s="226"/>
      <c r="O45" s="226"/>
      <c r="P45" s="226"/>
      <c r="Q45" s="226"/>
      <c r="R45" s="226"/>
      <c r="S45" s="228"/>
    </row>
    <row r="46" spans="2:19" ht="15" customHeight="1" x14ac:dyDescent="0.25">
      <c r="B46" s="238"/>
      <c r="C46" s="226"/>
      <c r="D46" s="226"/>
      <c r="E46" s="226"/>
      <c r="F46" s="226"/>
      <c r="G46" s="226"/>
      <c r="H46" s="226"/>
      <c r="I46" s="226"/>
      <c r="J46" s="226"/>
      <c r="K46" s="226"/>
      <c r="L46" s="226"/>
      <c r="M46" s="226"/>
      <c r="N46" s="226"/>
      <c r="O46" s="226"/>
      <c r="P46" s="226"/>
      <c r="Q46" s="226"/>
      <c r="R46" s="226"/>
      <c r="S46" s="228"/>
    </row>
    <row r="47" spans="2:19" ht="15" customHeight="1" x14ac:dyDescent="0.25">
      <c r="B47" s="238"/>
      <c r="C47" s="226"/>
      <c r="D47" s="226"/>
      <c r="E47" s="226"/>
      <c r="F47" s="226"/>
      <c r="G47" s="226"/>
      <c r="H47" s="226"/>
      <c r="I47" s="226"/>
      <c r="J47" s="226"/>
      <c r="K47" s="226"/>
      <c r="L47" s="226"/>
      <c r="M47" s="226"/>
      <c r="N47" s="226"/>
      <c r="O47" s="226"/>
      <c r="P47" s="226"/>
      <c r="Q47" s="226"/>
      <c r="R47" s="226"/>
      <c r="S47" s="228"/>
    </row>
    <row r="48" spans="2:19" ht="15" customHeight="1" x14ac:dyDescent="0.25">
      <c r="B48" s="238"/>
      <c r="C48" s="226"/>
      <c r="D48" s="226"/>
      <c r="E48" s="226"/>
      <c r="F48" s="226"/>
      <c r="G48" s="226"/>
      <c r="H48" s="226"/>
      <c r="I48" s="226"/>
      <c r="J48" s="226"/>
      <c r="K48" s="226"/>
      <c r="L48" s="226"/>
      <c r="M48" s="226"/>
      <c r="N48" s="226"/>
      <c r="O48" s="226"/>
      <c r="P48" s="226"/>
      <c r="Q48" s="226"/>
      <c r="R48" s="226"/>
      <c r="S48" s="228"/>
    </row>
    <row r="49" spans="2:19" ht="15" customHeight="1" thickBot="1" x14ac:dyDescent="0.3">
      <c r="B49" s="248"/>
      <c r="C49" s="231"/>
      <c r="D49" s="231"/>
      <c r="E49" s="231"/>
      <c r="F49" s="231"/>
      <c r="G49" s="231"/>
      <c r="H49" s="231"/>
      <c r="I49" s="231"/>
      <c r="J49" s="231"/>
      <c r="K49" s="231"/>
      <c r="L49" s="231"/>
      <c r="M49" s="231"/>
      <c r="N49" s="231"/>
      <c r="O49" s="231"/>
      <c r="P49" s="231"/>
      <c r="Q49" s="231"/>
      <c r="R49" s="231"/>
      <c r="S49" s="232"/>
    </row>
    <row r="50" spans="2:19" ht="15" customHeight="1" thickTop="1" x14ac:dyDescent="0.25"/>
    <row r="51" spans="2:19" ht="15" customHeight="1" x14ac:dyDescent="0.25"/>
    <row r="52" spans="2:19" ht="15" customHeight="1" x14ac:dyDescent="0.25"/>
    <row r="53" spans="2:19" ht="15" customHeight="1" x14ac:dyDescent="0.25"/>
    <row r="54" spans="2:19" ht="15" customHeight="1" x14ac:dyDescent="0.25"/>
    <row r="55" spans="2:19" ht="15" customHeight="1" x14ac:dyDescent="0.25"/>
    <row r="56" spans="2:19" ht="15" customHeight="1" x14ac:dyDescent="0.25"/>
    <row r="57" spans="2:19" ht="15" customHeight="1" x14ac:dyDescent="0.25"/>
    <row r="58" spans="2:19" ht="15" customHeight="1" x14ac:dyDescent="0.25">
      <c r="B58" t="s">
        <v>267</v>
      </c>
    </row>
    <row r="59" spans="2:19" ht="15" customHeight="1" x14ac:dyDescent="0.25">
      <c r="B59" s="5" t="s">
        <v>266</v>
      </c>
    </row>
    <row r="60" spans="2:19" ht="15" customHeight="1" x14ac:dyDescent="0.25"/>
    <row r="61" spans="2:19" ht="15" customHeight="1" x14ac:dyDescent="0.25"/>
    <row r="62" spans="2:19" ht="15" customHeight="1" x14ac:dyDescent="0.25">
      <c r="D62" s="254"/>
      <c r="F62" s="254"/>
    </row>
    <row r="63" spans="2:19" ht="15" customHeight="1" x14ac:dyDescent="0.25">
      <c r="D63" s="254"/>
      <c r="E63" s="254"/>
      <c r="F63" s="254"/>
    </row>
    <row r="64" spans="2:19" ht="15" customHeight="1" x14ac:dyDescent="0.25">
      <c r="D64" s="254"/>
      <c r="E64" s="254"/>
      <c r="F64" s="254"/>
    </row>
    <row r="65" spans="4:6" ht="15" customHeight="1" x14ac:dyDescent="0.25">
      <c r="D65" s="254"/>
      <c r="E65" s="254"/>
      <c r="F65" s="254"/>
    </row>
    <row r="66" spans="4:6" ht="15" customHeight="1" x14ac:dyDescent="0.25">
      <c r="D66" s="254"/>
      <c r="E66" s="254"/>
      <c r="F66" s="254"/>
    </row>
    <row r="67" spans="4:6" ht="15" customHeight="1" x14ac:dyDescent="0.25">
      <c r="D67" s="254"/>
      <c r="E67" s="254"/>
      <c r="F67" s="254"/>
    </row>
    <row r="68" spans="4:6" ht="15" customHeight="1" x14ac:dyDescent="0.25"/>
    <row r="69" spans="4:6" ht="15" customHeight="1" x14ac:dyDescent="0.25">
      <c r="D69" s="5" t="s">
        <v>0</v>
      </c>
    </row>
    <row r="70" spans="4:6" ht="15" customHeight="1" x14ac:dyDescent="0.25"/>
    <row r="71" spans="4:6" ht="15" customHeight="1" x14ac:dyDescent="0.25"/>
    <row r="72" spans="4:6" ht="15" customHeight="1" x14ac:dyDescent="0.25"/>
    <row r="73" spans="4:6" ht="15" customHeight="1" x14ac:dyDescent="0.25"/>
    <row r="74" spans="4:6" ht="15" customHeight="1" x14ac:dyDescent="0.25"/>
    <row r="75" spans="4:6" ht="15" customHeight="1" x14ac:dyDescent="0.25"/>
    <row r="76" spans="4:6" ht="15" customHeight="1" x14ac:dyDescent="0.25"/>
    <row r="77" spans="4:6" ht="15" customHeight="1" x14ac:dyDescent="0.25"/>
    <row r="78" spans="4:6" ht="15" customHeight="1" x14ac:dyDescent="0.25"/>
    <row r="79" spans="4:6" ht="15" customHeight="1" x14ac:dyDescent="0.25"/>
    <row r="80" spans="4:6"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48567" spans="2:2" x14ac:dyDescent="0.25">
      <c r="B1048567" s="40" t="s">
        <v>13</v>
      </c>
    </row>
  </sheetData>
  <mergeCells count="3">
    <mergeCell ref="E3:L3"/>
    <mergeCell ref="L13:Q13"/>
    <mergeCell ref="M24:N25"/>
  </mergeCells>
  <phoneticPr fontId="16" type="noConversion"/>
  <conditionalFormatting sqref="D31">
    <cfRule type="expression" dxfId="28" priority="9">
      <formula>Moyenne_manuelle=""</formula>
    </cfRule>
  </conditionalFormatting>
  <conditionalFormatting sqref="D5">
    <cfRule type="expression" dxfId="27" priority="1">
      <formula>ISNUMBER($D$5)</formula>
    </cfRule>
  </conditionalFormatting>
  <dataValidations xWindow="580" yWindow="394" count="6">
    <dataValidation allowBlank="1" showInputMessage="1" showErrorMessage="1" prompt="Si vous avez changé d'échelon dans les dernières années, incrivez l'échelon correspondant à la date mentionnée ci-contre." sqref="K15:K20" xr:uid="{00000000-0002-0000-0100-000000000000}"/>
    <dataValidation type="custom" showInputMessage="1" showErrorMessage="1" errorTitle="ATTENTION" error="Cette cellule est réservée" promptTitle="Cette cellule est réservée" sqref="B1048567:B1048576" xr:uid="{00000000-0002-0000-0100-000001000000}">
      <formula1>"Daniel Légaré"</formula1>
    </dataValidation>
    <dataValidation allowBlank="1" showInputMessage="1" showErrorMessage="1" prompt="Si vous indiquée une valeur ici, le calcul sera effectué avec celle-ci." sqref="C15:C16" xr:uid="{00000000-0002-0000-0100-000002000000}"/>
    <dataValidation allowBlank="1" showInputMessage="1" showErrorMessage="1" prompt="Maximum 40" sqref="D13" xr:uid="{00000000-0002-0000-0100-000003000000}"/>
    <dataValidation type="custom" allowBlank="1" showErrorMessage="1" errorTitle="Attention" error="Ce champs est réservé" sqref="B3" xr:uid="{00000000-0002-0000-0100-000004000000}">
      <formula1>"Daniel Légaré"</formula1>
    </dataValidation>
    <dataValidation operator="lessThan" allowBlank="1" showInputMessage="1" showErrorMessage="1" sqref="D16" xr:uid="{6FC3B04A-054E-46AC-9CA7-80FEE5164B22}"/>
  </dataValidations>
  <hyperlinks>
    <hyperlink ref="D69" r:id="rId1" xr:uid="{00000000-0004-0000-0100-000000000000}"/>
    <hyperlink ref="B59" r:id="rId2" xr:uid="{C87475F1-B18E-4578-B3EF-7666DACF89FA}"/>
  </hyperlinks>
  <pageMargins left="0.7" right="0.7" top="0.75" bottom="0.75" header="0.3" footer="0.3"/>
  <pageSetup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tabColor rgb="FFFFFF00"/>
  </sheetPr>
  <dimension ref="A1:Q100"/>
  <sheetViews>
    <sheetView showGridLines="0" showZeros="0" zoomScale="85" zoomScaleNormal="85" workbookViewId="0">
      <selection activeCell="P30" sqref="P30"/>
    </sheetView>
  </sheetViews>
  <sheetFormatPr baseColWidth="10" defaultRowHeight="15" x14ac:dyDescent="0.25"/>
  <cols>
    <col min="4" max="4" width="11.42578125" style="143"/>
    <col min="5" max="5" width="59.140625" customWidth="1"/>
    <col min="6" max="6" width="12.28515625" customWidth="1"/>
    <col min="7" max="7" width="11.85546875" customWidth="1"/>
    <col min="8" max="8" width="15.7109375" customWidth="1"/>
    <col min="9" max="15" width="10.28515625" customWidth="1"/>
    <col min="16" max="16" width="55.28515625" customWidth="1"/>
    <col min="17" max="17" width="10.28515625" customWidth="1"/>
    <col min="18" max="18" width="14.140625" customWidth="1"/>
  </cols>
  <sheetData>
    <row r="1" spans="1:17" x14ac:dyDescent="0.25">
      <c r="A1" s="50" t="s">
        <v>96</v>
      </c>
      <c r="B1" s="5"/>
    </row>
    <row r="2" spans="1:17" x14ac:dyDescent="0.25">
      <c r="A2" s="96"/>
      <c r="B2" s="5"/>
    </row>
    <row r="3" spans="1:17" x14ac:dyDescent="0.25">
      <c r="B3" s="254"/>
      <c r="O3" s="8"/>
      <c r="P3" s="8"/>
      <c r="Q3" s="8"/>
    </row>
    <row r="4" spans="1:17" ht="15.75" thickBot="1" x14ac:dyDescent="0.3">
      <c r="E4" t="s">
        <v>114</v>
      </c>
      <c r="O4" s="8"/>
      <c r="P4" s="8"/>
      <c r="Q4" s="8"/>
    </row>
    <row r="5" spans="1:17" ht="16.5" thickTop="1" thickBot="1" x14ac:dyDescent="0.3">
      <c r="E5" s="174" t="s">
        <v>122</v>
      </c>
      <c r="F5" s="175">
        <v>70000</v>
      </c>
      <c r="H5" s="413" t="s">
        <v>79</v>
      </c>
      <c r="I5" s="414">
        <v>1.7000000000000001E-2</v>
      </c>
      <c r="J5" s="414">
        <v>2.8000000000000001E-2</v>
      </c>
      <c r="K5" s="414">
        <v>1.7999999999999999E-2</v>
      </c>
      <c r="L5" s="415">
        <v>8.9999999999999993E-3</v>
      </c>
      <c r="M5" s="254"/>
      <c r="N5" s="254"/>
    </row>
    <row r="6" spans="1:17" ht="16.5" thickTop="1" thickBot="1" x14ac:dyDescent="0.3">
      <c r="H6" s="423">
        <v>40360</v>
      </c>
      <c r="I6" s="424">
        <v>40544</v>
      </c>
      <c r="J6" s="424">
        <v>40909</v>
      </c>
      <c r="K6" s="424">
        <v>41275</v>
      </c>
      <c r="L6" s="425">
        <v>41640</v>
      </c>
      <c r="M6" s="254"/>
      <c r="N6" s="254"/>
    </row>
    <row r="7" spans="1:17" ht="16.5" thickTop="1" thickBot="1" x14ac:dyDescent="0.3">
      <c r="E7" s="149" t="s">
        <v>86</v>
      </c>
      <c r="F7" s="153" t="s">
        <v>87</v>
      </c>
      <c r="G7" s="400" t="s">
        <v>85</v>
      </c>
      <c r="H7" s="416" t="s">
        <v>85</v>
      </c>
      <c r="I7" s="166" t="s">
        <v>85</v>
      </c>
      <c r="J7" s="166" t="s">
        <v>85</v>
      </c>
      <c r="K7" s="166" t="s">
        <v>85</v>
      </c>
      <c r="L7" s="417" t="s">
        <v>85</v>
      </c>
      <c r="M7" s="254"/>
      <c r="N7" s="254"/>
    </row>
    <row r="8" spans="1:17" ht="15.75" thickTop="1" x14ac:dyDescent="0.25">
      <c r="E8" s="150" t="s">
        <v>82</v>
      </c>
      <c r="F8" s="97">
        <v>2</v>
      </c>
      <c r="G8" s="401">
        <f>F8*2%*$F$5</f>
        <v>2800</v>
      </c>
      <c r="H8" s="418">
        <f>G8</f>
        <v>2800</v>
      </c>
      <c r="I8" s="167">
        <f>H8+H8*I5</f>
        <v>2847.6</v>
      </c>
      <c r="J8" s="167">
        <f t="shared" ref="J8:L8" si="0">I8+I8*J5</f>
        <v>2927.3328000000001</v>
      </c>
      <c r="K8" s="167">
        <f t="shared" si="0"/>
        <v>2980.0247904000003</v>
      </c>
      <c r="L8" s="167">
        <f t="shared" si="0"/>
        <v>3006.8450135136004</v>
      </c>
      <c r="M8" s="254"/>
      <c r="N8" s="254"/>
    </row>
    <row r="9" spans="1:17" x14ac:dyDescent="0.25">
      <c r="E9" s="151" t="s">
        <v>81</v>
      </c>
      <c r="F9" s="98">
        <v>17.5</v>
      </c>
      <c r="G9" s="170">
        <f>F9*2%*$F$5</f>
        <v>24500.000000000004</v>
      </c>
      <c r="H9" s="419">
        <f>G9</f>
        <v>24500.000000000004</v>
      </c>
      <c r="I9" s="168">
        <f>$H$9</f>
        <v>24500.000000000004</v>
      </c>
      <c r="J9" s="168">
        <f t="shared" ref="J9" si="1">$H$9</f>
        <v>24500.000000000004</v>
      </c>
      <c r="K9" s="168">
        <f>$H$9</f>
        <v>24500.000000000004</v>
      </c>
      <c r="L9" s="420">
        <f>$H$9</f>
        <v>24500.000000000004</v>
      </c>
      <c r="M9" s="254"/>
      <c r="N9" s="254"/>
    </row>
    <row r="10" spans="1:17" x14ac:dyDescent="0.25">
      <c r="E10" s="151" t="s">
        <v>83</v>
      </c>
      <c r="F10" s="98">
        <v>10.5</v>
      </c>
      <c r="G10" s="170">
        <f>F10*2%*$F$5</f>
        <v>14700</v>
      </c>
      <c r="H10" s="419">
        <f>G10</f>
        <v>14700</v>
      </c>
      <c r="I10" s="168">
        <f>H10+50%*I5*H10</f>
        <v>14824.95</v>
      </c>
      <c r="J10" s="168">
        <f t="shared" ref="J10:L10" si="2">I10+50%*J5*I10</f>
        <v>15032.499300000001</v>
      </c>
      <c r="K10" s="168">
        <f t="shared" si="2"/>
        <v>15167.791793700002</v>
      </c>
      <c r="L10" s="168">
        <f t="shared" si="2"/>
        <v>15236.046856771653</v>
      </c>
      <c r="M10" s="254"/>
      <c r="N10" s="254"/>
    </row>
    <row r="11" spans="1:17" ht="15.75" thickBot="1" x14ac:dyDescent="0.3">
      <c r="E11" s="152" t="s">
        <v>84</v>
      </c>
      <c r="F11" s="99">
        <f>SUM(F8:F10)</f>
        <v>30</v>
      </c>
      <c r="G11" s="171">
        <f>SUM(G8:G10)</f>
        <v>42000</v>
      </c>
      <c r="H11" s="421">
        <f>G11</f>
        <v>42000</v>
      </c>
      <c r="I11" s="169">
        <f>SUM(I8:I10)</f>
        <v>42172.55</v>
      </c>
      <c r="J11" s="169">
        <f t="shared" ref="J11" si="3">SUM(J8:J10)</f>
        <v>42459.832100000007</v>
      </c>
      <c r="K11" s="169">
        <f>SUM(K8:K10)</f>
        <v>42647.816584100001</v>
      </c>
      <c r="L11" s="422">
        <f>SUM(L8:L10)</f>
        <v>42742.891870285253</v>
      </c>
      <c r="M11" s="254"/>
      <c r="N11" s="254"/>
    </row>
    <row r="12" spans="1:17" ht="15.75" thickTop="1" x14ac:dyDescent="0.25">
      <c r="M12" s="254"/>
      <c r="N12" s="254"/>
      <c r="O12" s="254"/>
    </row>
    <row r="13" spans="1:17" x14ac:dyDescent="0.25">
      <c r="H13" s="255"/>
      <c r="I13" s="8"/>
      <c r="J13" s="67">
        <f>(L11/G11)-1</f>
        <v>1.7687901673458351E-2</v>
      </c>
      <c r="K13" t="s">
        <v>103</v>
      </c>
      <c r="N13" s="8"/>
      <c r="O13" s="8"/>
    </row>
    <row r="14" spans="1:17" ht="15.75" thickBot="1" x14ac:dyDescent="0.3">
      <c r="B14" s="156" t="s">
        <v>47</v>
      </c>
      <c r="C14" s="160" t="s">
        <v>79</v>
      </c>
      <c r="D14" s="144"/>
      <c r="G14" s="44"/>
      <c r="I14" s="69"/>
      <c r="J14" s="67">
        <f>SUM(H5:L5)</f>
        <v>7.1999999999999995E-2</v>
      </c>
      <c r="K14" t="s">
        <v>104</v>
      </c>
    </row>
    <row r="15" spans="1:17" ht="15.75" thickTop="1" x14ac:dyDescent="0.25">
      <c r="B15" s="157">
        <v>2021</v>
      </c>
      <c r="C15" s="128">
        <v>1.26E-2</v>
      </c>
      <c r="D15" s="145"/>
    </row>
    <row r="16" spans="1:17" x14ac:dyDescent="0.25">
      <c r="B16" s="157">
        <v>2020</v>
      </c>
      <c r="C16" s="128">
        <v>1.9E-2</v>
      </c>
      <c r="D16" s="145"/>
      <c r="I16" s="44"/>
    </row>
    <row r="17" spans="2:12" x14ac:dyDescent="0.25">
      <c r="B17" s="157">
        <f>B16-1</f>
        <v>2019</v>
      </c>
      <c r="C17" s="128">
        <v>2.3E-2</v>
      </c>
      <c r="D17" s="145"/>
    </row>
    <row r="18" spans="2:12" ht="15.75" thickBot="1" x14ac:dyDescent="0.3">
      <c r="B18" s="157">
        <f t="shared" ref="B18:B62" si="4">B17-1</f>
        <v>2018</v>
      </c>
      <c r="C18" s="128">
        <v>1.4999999999999999E-2</v>
      </c>
      <c r="D18" s="145"/>
      <c r="E18" t="s">
        <v>102</v>
      </c>
    </row>
    <row r="19" spans="2:12" ht="15.75" thickTop="1" x14ac:dyDescent="0.25">
      <c r="B19" s="157">
        <f t="shared" si="4"/>
        <v>2017</v>
      </c>
      <c r="C19" s="128">
        <v>1.4E-2</v>
      </c>
      <c r="D19" s="145"/>
      <c r="E19" s="155" t="s">
        <v>80</v>
      </c>
      <c r="F19" s="100">
        <v>1.26E-2</v>
      </c>
    </row>
    <row r="20" spans="2:12" ht="15.75" thickBot="1" x14ac:dyDescent="0.3">
      <c r="B20" s="158">
        <f t="shared" si="4"/>
        <v>2016</v>
      </c>
      <c r="C20" s="129">
        <v>1.2E-2</v>
      </c>
      <c r="D20" s="145"/>
      <c r="E20" s="152" t="s">
        <v>122</v>
      </c>
      <c r="F20" s="101">
        <f>Moyenne_automatique</f>
        <v>86837</v>
      </c>
    </row>
    <row r="21" spans="2:12" ht="16.5" thickTop="1" thickBot="1" x14ac:dyDescent="0.3">
      <c r="B21" s="158">
        <f t="shared" si="4"/>
        <v>2015</v>
      </c>
      <c r="C21" s="129">
        <v>1.7999999999999999E-2</v>
      </c>
      <c r="D21" s="145"/>
      <c r="H21" s="146">
        <v>2020</v>
      </c>
      <c r="I21" s="147">
        <v>2021</v>
      </c>
      <c r="J21" s="147">
        <v>2022</v>
      </c>
      <c r="K21" s="147">
        <v>2023</v>
      </c>
      <c r="L21" s="148">
        <v>2024</v>
      </c>
    </row>
    <row r="22" spans="2:12" ht="16.5" thickTop="1" thickBot="1" x14ac:dyDescent="0.3">
      <c r="B22" s="158">
        <f t="shared" si="4"/>
        <v>2014</v>
      </c>
      <c r="C22" s="129">
        <v>8.9999999999999993E-3</v>
      </c>
      <c r="D22" s="145"/>
      <c r="E22" s="149" t="s">
        <v>100</v>
      </c>
      <c r="F22" s="153" t="s">
        <v>87</v>
      </c>
      <c r="G22" s="154" t="s">
        <v>85</v>
      </c>
      <c r="H22" s="161">
        <v>1.9E-2</v>
      </c>
      <c r="I22" s="161">
        <v>1.26E-2</v>
      </c>
      <c r="J22" s="161">
        <v>0.02</v>
      </c>
      <c r="K22" s="161">
        <v>0.02</v>
      </c>
      <c r="L22" s="162">
        <v>0.02</v>
      </c>
    </row>
    <row r="23" spans="2:12" ht="15.75" thickTop="1" x14ac:dyDescent="0.25">
      <c r="B23" s="158">
        <f t="shared" si="4"/>
        <v>2013</v>
      </c>
      <c r="C23" s="129">
        <v>1.7999999999999999E-2</v>
      </c>
      <c r="D23" s="145"/>
      <c r="E23" s="150" t="s">
        <v>82</v>
      </c>
      <c r="F23" s="97">
        <v>2.5</v>
      </c>
      <c r="G23" s="176">
        <f>F23*2%*$F$20</f>
        <v>4341.8500000000004</v>
      </c>
      <c r="H23" s="19">
        <f>G23+G23*H22</f>
        <v>4424.3451500000001</v>
      </c>
      <c r="I23" s="17">
        <f>H23+H23*I22</f>
        <v>4480.0918988900003</v>
      </c>
      <c r="J23" s="17">
        <f>I23+I23*J22</f>
        <v>4569.6937368678</v>
      </c>
      <c r="K23" s="17">
        <f>J23+J23*K22</f>
        <v>4661.0876116051559</v>
      </c>
      <c r="L23" s="177">
        <f>K23+K23*L22</f>
        <v>4754.3093638372593</v>
      </c>
    </row>
    <row r="24" spans="2:12" ht="17.25" x14ac:dyDescent="0.25">
      <c r="B24" s="158">
        <f t="shared" si="4"/>
        <v>2012</v>
      </c>
      <c r="C24" s="129">
        <v>2.8000000000000001E-2</v>
      </c>
      <c r="D24" s="145"/>
      <c r="E24" s="151" t="s">
        <v>123</v>
      </c>
      <c r="F24" s="98">
        <v>17.5</v>
      </c>
      <c r="G24" s="178">
        <f>F24*2%*$F$20</f>
        <v>30392.950000000004</v>
      </c>
      <c r="H24" s="20">
        <f>G24+IF(H22&gt;3%,H22-3%,0)*G24</f>
        <v>30392.950000000004</v>
      </c>
      <c r="I24" s="18">
        <f>H24+IF(I22&gt;3%,I22-3%,0)*H24</f>
        <v>30392.950000000004</v>
      </c>
      <c r="J24" s="18">
        <f>I24+IF(J22&gt;3%,J22-3%,0)*I24</f>
        <v>30392.950000000004</v>
      </c>
      <c r="K24" s="18">
        <f>J24+IF(K22&gt;3%,K22-3%,0)*J24</f>
        <v>30392.950000000004</v>
      </c>
      <c r="L24" s="170">
        <f>K24+IF(L22&gt;3%,L22-3%,0)*K24</f>
        <v>30392.950000000004</v>
      </c>
    </row>
    <row r="25" spans="2:12" ht="17.25" x14ac:dyDescent="0.25">
      <c r="B25" s="158">
        <f t="shared" si="4"/>
        <v>2011</v>
      </c>
      <c r="C25" s="129">
        <v>1.7000000000000001E-2</v>
      </c>
      <c r="D25" s="145"/>
      <c r="E25" s="151" t="s">
        <v>99</v>
      </c>
      <c r="F25" s="98">
        <v>20</v>
      </c>
      <c r="G25" s="178">
        <f>F25*2%*$F$20</f>
        <v>34734.800000000003</v>
      </c>
      <c r="H25" s="20">
        <f>G25+IF(H22-3%&gt;50%*H22,H22-3%,50%*H22)*G25</f>
        <v>35064.780600000006</v>
      </c>
      <c r="I25" s="18">
        <f>H25+IF(I22-3%&gt;50%*I22,I22-3%,50%*I22)*H25</f>
        <v>35285.688717780009</v>
      </c>
      <c r="J25" s="18">
        <f>I25+IF(J22-3%&gt;50%*J22,J22-3%,50%*J22)*I25</f>
        <v>35638.545604957806</v>
      </c>
      <c r="K25" s="18">
        <f>J25+IF(K22-3%&gt;50%*K22,K22-3%,50%*K22)*J25</f>
        <v>35994.931061007381</v>
      </c>
      <c r="L25" s="170">
        <f>K25+IF(L22-3%&gt;50%*L22,L22-3%,50%*L22)*K25</f>
        <v>36354.880371617452</v>
      </c>
    </row>
    <row r="26" spans="2:12" ht="15.75" thickBot="1" x14ac:dyDescent="0.3">
      <c r="B26" s="158">
        <f t="shared" si="4"/>
        <v>2010</v>
      </c>
      <c r="C26" s="129">
        <v>4.0000000000000001E-3</v>
      </c>
      <c r="D26" s="145"/>
      <c r="E26" s="152" t="s">
        <v>84</v>
      </c>
      <c r="F26" s="99">
        <f t="shared" ref="F26:L26" si="5">SUM(F23:F25)</f>
        <v>40</v>
      </c>
      <c r="G26" s="179">
        <f t="shared" si="5"/>
        <v>69469.600000000006</v>
      </c>
      <c r="H26" s="180">
        <f t="shared" si="5"/>
        <v>69882.075750000018</v>
      </c>
      <c r="I26" s="163">
        <f t="shared" si="5"/>
        <v>70158.730616670015</v>
      </c>
      <c r="J26" s="163">
        <f t="shared" si="5"/>
        <v>70601.189341825608</v>
      </c>
      <c r="K26" s="163">
        <f t="shared" si="5"/>
        <v>71048.968672612536</v>
      </c>
      <c r="L26" s="171">
        <f t="shared" si="5"/>
        <v>71502.139735454723</v>
      </c>
    </row>
    <row r="27" spans="2:12" ht="15.75" thickTop="1" x14ac:dyDescent="0.25">
      <c r="B27" s="158">
        <f t="shared" si="4"/>
        <v>2009</v>
      </c>
      <c r="C27" s="129">
        <v>2.5000000000000001E-2</v>
      </c>
      <c r="D27" s="145"/>
    </row>
    <row r="28" spans="2:12" x14ac:dyDescent="0.25">
      <c r="B28" s="158">
        <f t="shared" si="4"/>
        <v>2008</v>
      </c>
      <c r="C28" s="129">
        <v>0.02</v>
      </c>
      <c r="D28" s="145"/>
      <c r="F28" s="69" t="s">
        <v>97</v>
      </c>
      <c r="G28" s="67">
        <f>(L26/G26)-1</f>
        <v>2.9257973782125024E-2</v>
      </c>
    </row>
    <row r="29" spans="2:12" x14ac:dyDescent="0.25">
      <c r="B29" s="158">
        <f t="shared" si="4"/>
        <v>2007</v>
      </c>
      <c r="C29" s="129">
        <v>2.1000000000000001E-2</v>
      </c>
      <c r="D29" s="145"/>
      <c r="F29" s="69" t="s">
        <v>98</v>
      </c>
      <c r="G29" s="67">
        <f>SUM(H22:L22)</f>
        <v>9.1600000000000015E-2</v>
      </c>
    </row>
    <row r="30" spans="2:12" x14ac:dyDescent="0.25">
      <c r="B30" s="158">
        <f t="shared" si="4"/>
        <v>2006</v>
      </c>
      <c r="C30" s="129">
        <v>2.3E-2</v>
      </c>
      <c r="D30" s="145"/>
      <c r="F30" s="69" t="s">
        <v>101</v>
      </c>
      <c r="G30" s="67">
        <f>G29-G28</f>
        <v>6.2342026217874991E-2</v>
      </c>
    </row>
    <row r="31" spans="2:12" x14ac:dyDescent="0.25">
      <c r="B31" s="158">
        <f t="shared" si="4"/>
        <v>2005</v>
      </c>
      <c r="C31" s="129">
        <v>1.7000000000000001E-2</v>
      </c>
      <c r="D31" s="145"/>
    </row>
    <row r="32" spans="2:12" x14ac:dyDescent="0.25">
      <c r="B32" s="158">
        <f t="shared" si="4"/>
        <v>2004</v>
      </c>
      <c r="C32" s="129">
        <v>3.2000000000000001E-2</v>
      </c>
      <c r="D32" s="145"/>
    </row>
    <row r="33" spans="2:7" x14ac:dyDescent="0.25">
      <c r="B33" s="158">
        <f t="shared" si="4"/>
        <v>2003</v>
      </c>
      <c r="C33" s="129">
        <v>1.6E-2</v>
      </c>
      <c r="D33" s="145"/>
    </row>
    <row r="34" spans="2:7" x14ac:dyDescent="0.25">
      <c r="B34" s="158">
        <f t="shared" si="4"/>
        <v>2002</v>
      </c>
      <c r="C34" s="129">
        <v>0.03</v>
      </c>
      <c r="D34" s="145"/>
    </row>
    <row r="35" spans="2:7" x14ac:dyDescent="0.25">
      <c r="B35" s="158">
        <f t="shared" si="4"/>
        <v>2001</v>
      </c>
      <c r="C35" s="129">
        <v>2.5000000000000001E-2</v>
      </c>
      <c r="D35" s="145"/>
    </row>
    <row r="36" spans="2:7" x14ac:dyDescent="0.25">
      <c r="B36" s="158">
        <f t="shared" si="4"/>
        <v>2000</v>
      </c>
      <c r="C36" s="129">
        <v>1.6E-2</v>
      </c>
      <c r="D36" s="145"/>
    </row>
    <row r="37" spans="2:7" x14ac:dyDescent="0.25">
      <c r="B37" s="158">
        <f t="shared" si="4"/>
        <v>1999</v>
      </c>
      <c r="C37" s="129">
        <v>9.0000000000000011E-3</v>
      </c>
      <c r="D37" s="145"/>
    </row>
    <row r="38" spans="2:7" x14ac:dyDescent="0.25">
      <c r="B38" s="158">
        <f t="shared" si="4"/>
        <v>1998</v>
      </c>
      <c r="C38" s="129">
        <v>1.9E-2</v>
      </c>
      <c r="D38" s="145"/>
      <c r="F38" s="5"/>
    </row>
    <row r="39" spans="2:7" ht="15.75" thickBot="1" x14ac:dyDescent="0.3">
      <c r="B39" s="158">
        <f t="shared" si="4"/>
        <v>1997</v>
      </c>
      <c r="C39" s="129">
        <v>1.4999999999999999E-2</v>
      </c>
      <c r="D39" s="145"/>
    </row>
    <row r="40" spans="2:7" ht="15.75" thickTop="1" x14ac:dyDescent="0.25">
      <c r="B40" s="158">
        <f t="shared" si="4"/>
        <v>1996</v>
      </c>
      <c r="C40" s="129">
        <v>2.3E-2</v>
      </c>
      <c r="D40" s="145"/>
      <c r="F40" s="187">
        <v>1208.26</v>
      </c>
      <c r="G40" t="s">
        <v>105</v>
      </c>
    </row>
    <row r="41" spans="2:7" ht="15.75" thickBot="1" x14ac:dyDescent="0.3">
      <c r="B41" s="158">
        <f t="shared" si="4"/>
        <v>1995</v>
      </c>
      <c r="C41" s="129">
        <v>0</v>
      </c>
      <c r="D41" s="145"/>
      <c r="F41" s="184">
        <f>F40*12</f>
        <v>14499.119999999999</v>
      </c>
      <c r="G41" t="s">
        <v>108</v>
      </c>
    </row>
    <row r="42" spans="2:7" ht="16.5" thickTop="1" thickBot="1" x14ac:dyDescent="0.3">
      <c r="B42" s="158">
        <f t="shared" si="4"/>
        <v>1994</v>
      </c>
      <c r="C42" s="129">
        <v>1.9E-2</v>
      </c>
      <c r="D42" s="145"/>
    </row>
    <row r="43" spans="2:7" ht="15.75" thickTop="1" x14ac:dyDescent="0.25">
      <c r="B43" s="158">
        <f t="shared" si="4"/>
        <v>1993</v>
      </c>
      <c r="C43" s="129">
        <v>1.8000000000000002E-2</v>
      </c>
      <c r="D43" s="145"/>
      <c r="F43" s="181">
        <v>6.0000000000000001E-3</v>
      </c>
      <c r="G43" t="s">
        <v>55</v>
      </c>
    </row>
    <row r="44" spans="2:7" x14ac:dyDescent="0.25">
      <c r="B44" s="159">
        <f t="shared" si="4"/>
        <v>1992</v>
      </c>
      <c r="C44" s="130">
        <v>5.7999999999999996E-2</v>
      </c>
      <c r="D44" s="145"/>
      <c r="F44" s="182">
        <v>60</v>
      </c>
      <c r="G44" t="s">
        <v>56</v>
      </c>
    </row>
    <row r="45" spans="2:7" x14ac:dyDescent="0.25">
      <c r="B45" s="158">
        <f t="shared" si="4"/>
        <v>1991</v>
      </c>
      <c r="C45" s="129">
        <v>4.8000000000000001E-2</v>
      </c>
      <c r="D45" s="145"/>
      <c r="F45" s="183">
        <f>IF(F44&gt;=1,F40-(F40*F43*F44),0)</f>
        <v>773.28639999999996</v>
      </c>
      <c r="G45" t="s">
        <v>106</v>
      </c>
    </row>
    <row r="46" spans="2:7" ht="15.75" thickBot="1" x14ac:dyDescent="0.3">
      <c r="B46" s="158">
        <f t="shared" si="4"/>
        <v>1990</v>
      </c>
      <c r="C46" s="129">
        <v>4.8000000000000001E-2</v>
      </c>
      <c r="D46" s="145"/>
      <c r="F46" s="184">
        <f>F40-F45</f>
        <v>434.97360000000003</v>
      </c>
      <c r="G46" t="s">
        <v>43</v>
      </c>
    </row>
    <row r="47" spans="2:7" ht="16.5" thickTop="1" thickBot="1" x14ac:dyDescent="0.3">
      <c r="B47" s="158">
        <f t="shared" si="4"/>
        <v>1989</v>
      </c>
      <c r="C47" s="129">
        <v>4.0999999999999995E-2</v>
      </c>
      <c r="D47" s="145"/>
    </row>
    <row r="48" spans="2:7" ht="15.75" thickTop="1" x14ac:dyDescent="0.25">
      <c r="B48" s="158">
        <f t="shared" si="4"/>
        <v>1988</v>
      </c>
      <c r="C48" s="129">
        <v>4.4000000000000004E-2</v>
      </c>
      <c r="D48" s="145"/>
      <c r="F48" s="188">
        <f>F45*12</f>
        <v>9279.4367999999995</v>
      </c>
      <c r="G48" t="s">
        <v>109</v>
      </c>
    </row>
    <row r="49" spans="2:7" ht="15.75" thickBot="1" x14ac:dyDescent="0.3">
      <c r="B49" s="158">
        <f t="shared" si="4"/>
        <v>1987</v>
      </c>
      <c r="C49" s="129">
        <v>4.0999999999999995E-2</v>
      </c>
      <c r="D49" s="145"/>
      <c r="F49" s="184">
        <f>F46*12</f>
        <v>5219.6832000000004</v>
      </c>
      <c r="G49" t="s">
        <v>110</v>
      </c>
    </row>
    <row r="50" spans="2:7" ht="15.75" thickTop="1" x14ac:dyDescent="0.25">
      <c r="B50" s="158">
        <f t="shared" si="4"/>
        <v>1986</v>
      </c>
      <c r="C50" s="129">
        <v>0.04</v>
      </c>
      <c r="D50" s="145"/>
    </row>
    <row r="51" spans="2:7" ht="15.75" thickBot="1" x14ac:dyDescent="0.3">
      <c r="B51" s="158">
        <f t="shared" si="4"/>
        <v>1985</v>
      </c>
      <c r="C51" s="129">
        <v>4.4000000000000004E-2</v>
      </c>
      <c r="D51" s="145"/>
    </row>
    <row r="52" spans="2:7" ht="15.75" thickTop="1" x14ac:dyDescent="0.25">
      <c r="B52" s="158">
        <f t="shared" si="4"/>
        <v>1984</v>
      </c>
      <c r="C52" s="129">
        <v>6.7000000000000004E-2</v>
      </c>
      <c r="D52" s="145"/>
      <c r="F52" s="185">
        <v>7.0000000000000001E-3</v>
      </c>
      <c r="G52" t="s">
        <v>44</v>
      </c>
    </row>
    <row r="53" spans="2:7" x14ac:dyDescent="0.25">
      <c r="B53" s="158">
        <f t="shared" si="4"/>
        <v>1983</v>
      </c>
      <c r="C53" s="129">
        <v>0.11199999999999999</v>
      </c>
      <c r="D53" s="145"/>
      <c r="F53" s="186">
        <v>60</v>
      </c>
      <c r="G53" t="s">
        <v>45</v>
      </c>
    </row>
    <row r="54" spans="2:7" x14ac:dyDescent="0.25">
      <c r="B54" s="158">
        <f t="shared" si="4"/>
        <v>1982</v>
      </c>
      <c r="C54" s="129">
        <v>0.12300000000000001</v>
      </c>
      <c r="D54" s="145"/>
      <c r="F54" s="183">
        <f>F40+F55</f>
        <v>1909.0508</v>
      </c>
      <c r="G54" t="s">
        <v>106</v>
      </c>
    </row>
    <row r="55" spans="2:7" ht="15.75" thickBot="1" x14ac:dyDescent="0.3">
      <c r="B55" s="158">
        <f t="shared" si="4"/>
        <v>1981</v>
      </c>
      <c r="C55" s="129">
        <v>9.9000000000000005E-2</v>
      </c>
      <c r="D55" s="145"/>
      <c r="F55" s="184">
        <f>IF(F53&gt;=1,F40-(F40*F52*F53),0)</f>
        <v>700.79079999999999</v>
      </c>
      <c r="G55" t="s">
        <v>107</v>
      </c>
    </row>
    <row r="56" spans="2:7" ht="16.5" thickTop="1" thickBot="1" x14ac:dyDescent="0.3">
      <c r="B56" s="158">
        <f t="shared" si="4"/>
        <v>1980</v>
      </c>
      <c r="C56" s="129">
        <v>0.09</v>
      </c>
      <c r="D56" s="145"/>
    </row>
    <row r="57" spans="2:7" ht="15.75" thickTop="1" x14ac:dyDescent="0.25">
      <c r="B57" s="158">
        <f t="shared" si="4"/>
        <v>1979</v>
      </c>
      <c r="C57" s="129">
        <v>0.09</v>
      </c>
      <c r="D57" s="145"/>
      <c r="F57" s="188">
        <f>F54*12</f>
        <v>22908.6096</v>
      </c>
      <c r="G57" t="s">
        <v>109</v>
      </c>
    </row>
    <row r="58" spans="2:7" ht="15.75" thickBot="1" x14ac:dyDescent="0.3">
      <c r="B58" s="158">
        <f t="shared" si="4"/>
        <v>1978</v>
      </c>
      <c r="C58" s="129">
        <v>7.4999999999999997E-2</v>
      </c>
      <c r="D58" s="145"/>
      <c r="F58" s="184">
        <f>F55*12</f>
        <v>8409.4896000000008</v>
      </c>
      <c r="G58" t="s">
        <v>111</v>
      </c>
    </row>
    <row r="59" spans="2:7" ht="15.75" thickTop="1" x14ac:dyDescent="0.25">
      <c r="B59" s="158">
        <f t="shared" si="4"/>
        <v>1977</v>
      </c>
      <c r="C59" s="129">
        <v>8.199999999999999E-2</v>
      </c>
      <c r="D59" s="145"/>
    </row>
    <row r="60" spans="2:7" x14ac:dyDescent="0.25">
      <c r="B60" s="158">
        <f t="shared" si="4"/>
        <v>1976</v>
      </c>
      <c r="C60" s="129">
        <v>0.11199999999999999</v>
      </c>
      <c r="D60" s="145"/>
    </row>
    <row r="61" spans="2:7" x14ac:dyDescent="0.25">
      <c r="B61" s="158">
        <f t="shared" si="4"/>
        <v>1975</v>
      </c>
      <c r="C61" s="129">
        <v>0.10400000000000001</v>
      </c>
      <c r="D61" s="145"/>
      <c r="E61" s="67"/>
    </row>
    <row r="62" spans="2:7" x14ac:dyDescent="0.25">
      <c r="B62" s="158">
        <f t="shared" si="4"/>
        <v>1974</v>
      </c>
      <c r="C62" s="129">
        <v>8.199999999999999E-2</v>
      </c>
    </row>
    <row r="65" spans="4:7" x14ac:dyDescent="0.25">
      <c r="D65" s="164"/>
      <c r="E65" s="165"/>
      <c r="G65" s="67"/>
    </row>
    <row r="66" spans="4:7" x14ac:dyDescent="0.25">
      <c r="D66" s="164"/>
      <c r="E66" s="165"/>
      <c r="G66" s="67"/>
    </row>
    <row r="67" spans="4:7" x14ac:dyDescent="0.25">
      <c r="D67" s="164"/>
      <c r="E67" s="165"/>
      <c r="G67" s="67"/>
    </row>
    <row r="68" spans="4:7" x14ac:dyDescent="0.25">
      <c r="D68" s="164"/>
      <c r="E68" s="165"/>
      <c r="G68" s="67"/>
    </row>
    <row r="69" spans="4:7" x14ac:dyDescent="0.25">
      <c r="D69" s="164"/>
      <c r="E69" s="165"/>
      <c r="G69" s="67"/>
    </row>
    <row r="70" spans="4:7" x14ac:dyDescent="0.25">
      <c r="D70" s="164"/>
      <c r="E70" s="165"/>
      <c r="G70" s="67"/>
    </row>
    <row r="71" spans="4:7" x14ac:dyDescent="0.25">
      <c r="D71" s="164"/>
      <c r="E71" s="165"/>
      <c r="G71" s="67"/>
    </row>
    <row r="72" spans="4:7" x14ac:dyDescent="0.25">
      <c r="D72" s="164"/>
      <c r="E72" s="165"/>
      <c r="G72" s="67"/>
    </row>
    <row r="73" spans="4:7" x14ac:dyDescent="0.25">
      <c r="D73" s="164"/>
      <c r="E73" s="165"/>
      <c r="G73" s="67"/>
    </row>
    <row r="74" spans="4:7" x14ac:dyDescent="0.25">
      <c r="D74" s="164"/>
      <c r="E74" s="165"/>
      <c r="G74" s="67"/>
    </row>
    <row r="75" spans="4:7" x14ac:dyDescent="0.25">
      <c r="D75" s="164"/>
      <c r="E75" s="165"/>
      <c r="G75" s="67"/>
    </row>
    <row r="76" spans="4:7" x14ac:dyDescent="0.25">
      <c r="D76" s="164"/>
      <c r="E76" s="165"/>
      <c r="G76" s="67"/>
    </row>
    <row r="77" spans="4:7" x14ac:dyDescent="0.25">
      <c r="D77" s="164"/>
      <c r="E77" s="165"/>
      <c r="G77" s="67"/>
    </row>
    <row r="78" spans="4:7" x14ac:dyDescent="0.25">
      <c r="D78" s="164"/>
      <c r="E78" s="165"/>
      <c r="G78" s="67"/>
    </row>
    <row r="79" spans="4:7" x14ac:dyDescent="0.25">
      <c r="D79" s="164"/>
      <c r="E79" s="165"/>
      <c r="G79" s="67"/>
    </row>
    <row r="80" spans="4:7" x14ac:dyDescent="0.25">
      <c r="D80" s="164"/>
      <c r="E80" s="165"/>
      <c r="G80" s="67"/>
    </row>
    <row r="81" spans="4:7" x14ac:dyDescent="0.25">
      <c r="D81" s="164"/>
      <c r="E81" s="165"/>
      <c r="G81" s="67"/>
    </row>
    <row r="82" spans="4:7" x14ac:dyDescent="0.25">
      <c r="D82" s="164"/>
      <c r="E82" s="165"/>
      <c r="G82" s="67"/>
    </row>
    <row r="83" spans="4:7" x14ac:dyDescent="0.25">
      <c r="D83" s="164"/>
      <c r="E83" s="165"/>
      <c r="G83" s="67"/>
    </row>
    <row r="84" spans="4:7" x14ac:dyDescent="0.25">
      <c r="D84" s="164"/>
      <c r="E84" s="165"/>
      <c r="G84" s="67"/>
    </row>
    <row r="85" spans="4:7" x14ac:dyDescent="0.25">
      <c r="D85" s="164"/>
      <c r="E85" s="165"/>
      <c r="G85" s="67"/>
    </row>
    <row r="86" spans="4:7" x14ac:dyDescent="0.25">
      <c r="D86" s="164"/>
      <c r="E86" s="165"/>
      <c r="G86" s="67"/>
    </row>
    <row r="87" spans="4:7" x14ac:dyDescent="0.25">
      <c r="D87" s="164"/>
      <c r="E87" s="165"/>
      <c r="G87" s="67"/>
    </row>
    <row r="88" spans="4:7" x14ac:dyDescent="0.25">
      <c r="D88" s="164"/>
      <c r="E88" s="165"/>
      <c r="G88" s="67"/>
    </row>
    <row r="89" spans="4:7" x14ac:dyDescent="0.25">
      <c r="D89" s="164"/>
      <c r="E89" s="165"/>
      <c r="G89" s="67"/>
    </row>
    <row r="90" spans="4:7" x14ac:dyDescent="0.25">
      <c r="D90" s="164"/>
      <c r="E90" s="165"/>
      <c r="G90" s="67"/>
    </row>
    <row r="91" spans="4:7" x14ac:dyDescent="0.25">
      <c r="D91" s="164"/>
      <c r="E91" s="165"/>
      <c r="G91" s="67"/>
    </row>
    <row r="92" spans="4:7" x14ac:dyDescent="0.25">
      <c r="D92" s="164"/>
      <c r="E92" s="165"/>
      <c r="G92" s="67"/>
    </row>
    <row r="93" spans="4:7" x14ac:dyDescent="0.25">
      <c r="D93" s="164"/>
      <c r="E93" s="165"/>
      <c r="G93" s="67"/>
    </row>
    <row r="94" spans="4:7" x14ac:dyDescent="0.25">
      <c r="D94" s="164"/>
      <c r="E94" s="165"/>
      <c r="G94" s="67"/>
    </row>
    <row r="95" spans="4:7" x14ac:dyDescent="0.25">
      <c r="D95" s="164"/>
      <c r="E95" s="165"/>
      <c r="G95" s="67"/>
    </row>
    <row r="96" spans="4:7" x14ac:dyDescent="0.25">
      <c r="D96" s="164"/>
      <c r="E96" s="165"/>
      <c r="G96" s="67"/>
    </row>
    <row r="97" spans="4:7" x14ac:dyDescent="0.25">
      <c r="D97" s="164"/>
      <c r="E97" s="165"/>
      <c r="G97" s="67"/>
    </row>
    <row r="98" spans="4:7" x14ac:dyDescent="0.25">
      <c r="D98" s="164"/>
      <c r="E98" s="165"/>
      <c r="G98" s="67"/>
    </row>
    <row r="99" spans="4:7" x14ac:dyDescent="0.25">
      <c r="D99" s="164"/>
      <c r="E99" s="165"/>
      <c r="G99" s="67"/>
    </row>
    <row r="100" spans="4:7" x14ac:dyDescent="0.25">
      <c r="D100" s="164"/>
      <c r="E100" s="165"/>
      <c r="G100" s="67"/>
    </row>
  </sheetData>
  <dataValidations count="1">
    <dataValidation type="whole" allowBlank="1" showInputMessage="1" showErrorMessage="1" sqref="F53 F44" xr:uid="{967A8EC0-8002-49B3-980F-D13FA0F25586}">
      <formula1>0</formula1>
      <formula2>60</formula2>
    </dataValidation>
  </dataValidations>
  <pageMargins left="0.7" right="0.7" top="0.75" bottom="0.75" header="0.3" footer="0.3"/>
  <pageSetup orientation="portrait" r:id="rId1"/>
  <ignoredErrors>
    <ignoredError sqref="H11" formula="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rgb="FF00B0F0"/>
  </sheetPr>
  <dimension ref="A1:AB93"/>
  <sheetViews>
    <sheetView topLeftCell="A52" zoomScale="115" zoomScaleNormal="115" workbookViewId="0">
      <selection activeCell="B91" sqref="B91:B93"/>
    </sheetView>
  </sheetViews>
  <sheetFormatPr baseColWidth="10" defaultRowHeight="15" x14ac:dyDescent="0.25"/>
  <cols>
    <col min="2" max="2" width="15.85546875" customWidth="1"/>
    <col min="3" max="3" width="8.28515625" customWidth="1"/>
    <col min="4" max="4" width="12.42578125" bestFit="1" customWidth="1"/>
    <col min="5" max="5" width="12" customWidth="1"/>
    <col min="6" max="6" width="20.140625" customWidth="1"/>
    <col min="8" max="8" width="10.85546875" customWidth="1"/>
    <col min="9" max="9" width="18.140625" customWidth="1"/>
    <col min="10" max="10" width="4.42578125" customWidth="1"/>
    <col min="16" max="16" width="19.140625" customWidth="1"/>
    <col min="26" max="26" width="35.140625" customWidth="1"/>
    <col min="27" max="27" width="15.7109375" customWidth="1"/>
  </cols>
  <sheetData>
    <row r="1" spans="1:28" ht="15.75" thickBot="1" x14ac:dyDescent="0.3">
      <c r="A1" s="50" t="s">
        <v>96</v>
      </c>
    </row>
    <row r="2" spans="1:28" ht="16.5" thickTop="1" thickBot="1" x14ac:dyDescent="0.3">
      <c r="B2" s="194" t="s">
        <v>118</v>
      </c>
      <c r="C2" s="195"/>
      <c r="D2" s="195"/>
      <c r="E2" s="195"/>
      <c r="F2" s="195"/>
      <c r="G2" s="196"/>
    </row>
    <row r="3" spans="1:28" ht="15.75" thickTop="1" x14ac:dyDescent="0.25">
      <c r="B3" t="s">
        <v>64</v>
      </c>
      <c r="Z3" t="s">
        <v>191</v>
      </c>
    </row>
    <row r="4" spans="1:28" x14ac:dyDescent="0.25">
      <c r="B4" t="s">
        <v>89</v>
      </c>
      <c r="Z4" t="s">
        <v>189</v>
      </c>
    </row>
    <row r="5" spans="1:28" x14ac:dyDescent="0.25">
      <c r="B5" t="s">
        <v>63</v>
      </c>
    </row>
    <row r="6" spans="1:28" ht="15.75" thickBot="1" x14ac:dyDescent="0.3">
      <c r="B6" s="86">
        <v>1177.3</v>
      </c>
      <c r="C6" t="s">
        <v>112</v>
      </c>
      <c r="Z6" t="s">
        <v>114</v>
      </c>
    </row>
    <row r="7" spans="1:28" ht="15.75" thickTop="1" x14ac:dyDescent="0.25">
      <c r="B7" s="86">
        <v>1208.26</v>
      </c>
      <c r="C7" s="254" t="s">
        <v>268</v>
      </c>
      <c r="D7" s="254"/>
      <c r="J7" s="9" t="s">
        <v>34</v>
      </c>
      <c r="Z7" s="314" t="s">
        <v>184</v>
      </c>
      <c r="AA7" s="319">
        <v>51500</v>
      </c>
    </row>
    <row r="8" spans="1:28" x14ac:dyDescent="0.25">
      <c r="B8" s="9" t="s">
        <v>51</v>
      </c>
      <c r="J8" s="9" t="s">
        <v>50</v>
      </c>
      <c r="Z8" s="315" t="s">
        <v>182</v>
      </c>
      <c r="AA8" s="318">
        <v>3500</v>
      </c>
    </row>
    <row r="9" spans="1:28" ht="15.75" thickBot="1" x14ac:dyDescent="0.3">
      <c r="B9" s="113" t="s">
        <v>48</v>
      </c>
      <c r="C9" s="113" t="s">
        <v>92</v>
      </c>
      <c r="D9" s="114" t="s">
        <v>47</v>
      </c>
      <c r="E9" s="114" t="s">
        <v>35</v>
      </c>
      <c r="F9" s="114" t="s">
        <v>59</v>
      </c>
      <c r="G9" s="114" t="s">
        <v>36</v>
      </c>
      <c r="H9" s="114" t="s">
        <v>37</v>
      </c>
      <c r="I9" s="189" t="s">
        <v>38</v>
      </c>
      <c r="J9" t="s">
        <v>113</v>
      </c>
      <c r="Z9" s="315" t="s">
        <v>183</v>
      </c>
      <c r="AA9" s="320">
        <f>AA7-AA8</f>
        <v>48000</v>
      </c>
    </row>
    <row r="10" spans="1:28" ht="16.5" thickTop="1" thickBot="1" x14ac:dyDescent="0.3">
      <c r="B10" s="109">
        <v>12</v>
      </c>
      <c r="C10" s="116">
        <f>IF(Ajustement_revenu[[#This Row],[Revenus admissibles]]=Ajustement_revenu[[#This Row],[MGA]],1,0)</f>
        <v>1</v>
      </c>
      <c r="D10" s="119">
        <v>2021</v>
      </c>
      <c r="E10" s="23">
        <v>61600</v>
      </c>
      <c r="F10" s="23">
        <v>3500</v>
      </c>
      <c r="G10" s="23">
        <f>E10</f>
        <v>61600</v>
      </c>
      <c r="H10" s="122">
        <f>G10/12</f>
        <v>5133.333333333333</v>
      </c>
      <c r="I10" s="123">
        <f>G10*AVERAGE($E$11:$E$17)/E10</f>
        <v>55471.428571428572</v>
      </c>
      <c r="K10" s="115">
        <f>SUM(Ajustement_revenu[Mois Cot.])</f>
        <v>504</v>
      </c>
      <c r="L10" t="s">
        <v>95</v>
      </c>
      <c r="Z10" s="321" t="s">
        <v>185</v>
      </c>
      <c r="AA10" s="322">
        <f>AA9*0.5%</f>
        <v>240</v>
      </c>
    </row>
    <row r="11" spans="1:28" ht="16.5" thickTop="1" thickBot="1" x14ac:dyDescent="0.3">
      <c r="B11" s="109">
        <v>12</v>
      </c>
      <c r="C11" s="116">
        <f>IF(Ajustement_revenu[[#This Row],[Revenus admissibles]]=Ajustement_revenu[[#This Row],[MGA]],1,0)</f>
        <v>1</v>
      </c>
      <c r="D11" s="119">
        <v>2020</v>
      </c>
      <c r="E11" s="23">
        <v>58700</v>
      </c>
      <c r="F11" s="23">
        <v>3500</v>
      </c>
      <c r="G11" s="23">
        <f>E11</f>
        <v>58700</v>
      </c>
      <c r="H11" s="122">
        <f>G11/12</f>
        <v>4891.666666666667</v>
      </c>
      <c r="I11" s="123">
        <f>G11*AVERAGE($E$11:$E$17)/E11</f>
        <v>55471.428571428572</v>
      </c>
      <c r="K11" s="71">
        <f>IF(K10*15%&lt;K12,K10*15%,K12)</f>
        <v>72</v>
      </c>
      <c r="L11" t="s">
        <v>94</v>
      </c>
      <c r="Z11" s="325"/>
      <c r="AA11" s="325"/>
    </row>
    <row r="12" spans="1:28" ht="16.5" thickTop="1" thickBot="1" x14ac:dyDescent="0.3">
      <c r="B12" s="109">
        <v>12</v>
      </c>
      <c r="C12" s="116">
        <f>IF(Ajustement_revenu[[#This Row],[Revenus admissibles]]=Ajustement_revenu[[#This Row],[MGA]],1,0)</f>
        <v>1</v>
      </c>
      <c r="D12" s="119">
        <v>2019</v>
      </c>
      <c r="E12" s="23">
        <v>57400</v>
      </c>
      <c r="F12" s="23">
        <v>3500</v>
      </c>
      <c r="G12" s="23">
        <f>E12</f>
        <v>57400</v>
      </c>
      <c r="H12" s="122">
        <f t="shared" ref="H12:H17" si="0">G12/12</f>
        <v>4783.333333333333</v>
      </c>
      <c r="I12" s="123">
        <f t="shared" ref="I12:I65" si="1">G12*AVERAGE($E$11:$E$17)/E12</f>
        <v>55471.428571428572</v>
      </c>
      <c r="K12" s="71">
        <f>SUMIFS(Ajustement_revenu[Mois Cot.],Ajustement_revenu[Adm.],0)</f>
        <v>72</v>
      </c>
      <c r="L12" t="s">
        <v>93</v>
      </c>
      <c r="Z12" s="323" t="s">
        <v>186</v>
      </c>
      <c r="AA12" s="324">
        <f>AA10/12</f>
        <v>20</v>
      </c>
    </row>
    <row r="13" spans="1:28" ht="15.75" thickTop="1" x14ac:dyDescent="0.25">
      <c r="B13" s="109">
        <v>12</v>
      </c>
      <c r="C13" s="116">
        <f>IF(Ajustement_revenu[[#This Row],[Revenus admissibles]]=Ajustement_revenu[[#This Row],[MGA]],1,0)</f>
        <v>1</v>
      </c>
      <c r="D13" s="120">
        <v>2018</v>
      </c>
      <c r="E13" s="23">
        <v>55900</v>
      </c>
      <c r="F13" s="23">
        <v>3500</v>
      </c>
      <c r="G13" s="23">
        <v>55900</v>
      </c>
      <c r="H13" s="122">
        <f>G13/12</f>
        <v>4658.333333333333</v>
      </c>
      <c r="I13" s="123">
        <f t="shared" si="1"/>
        <v>55471.428571428572</v>
      </c>
      <c r="K13" s="72">
        <f>SUM(Ajustement_revenu[[Revenu de travail annuel réajusté ]])</f>
        <v>2144655.5717836274</v>
      </c>
      <c r="L13" t="s">
        <v>39</v>
      </c>
    </row>
    <row r="14" spans="1:28" ht="15.75" thickBot="1" x14ac:dyDescent="0.3">
      <c r="B14" s="109">
        <v>12</v>
      </c>
      <c r="C14" s="116">
        <f>IF(Ajustement_revenu[[#This Row],[Revenus admissibles]]=Ajustement_revenu[[#This Row],[MGA]],1,0)</f>
        <v>1</v>
      </c>
      <c r="D14" s="120">
        <v>2017</v>
      </c>
      <c r="E14" s="23">
        <v>55300</v>
      </c>
      <c r="F14" s="23">
        <v>3500</v>
      </c>
      <c r="G14" s="23">
        <v>55300</v>
      </c>
      <c r="H14" s="122">
        <f>G14/12</f>
        <v>4608.333333333333</v>
      </c>
      <c r="I14" s="123">
        <f t="shared" si="1"/>
        <v>55471.428571428572</v>
      </c>
      <c r="K14" s="72">
        <f>SUMIFS(Ajustement_revenu[[Revenu de travail annuel réajusté ]],Ajustement_revenu[Adm.],0)</f>
        <v>147684.14321219834</v>
      </c>
      <c r="L14" t="s">
        <v>40</v>
      </c>
      <c r="Z14" s="255" t="s">
        <v>190</v>
      </c>
    </row>
    <row r="15" spans="1:28" ht="15.75" thickTop="1" x14ac:dyDescent="0.25">
      <c r="B15" s="109">
        <v>12</v>
      </c>
      <c r="C15" s="116">
        <f>IF(Ajustement_revenu[[#This Row],[Revenus admissibles]]=Ajustement_revenu[[#This Row],[MGA]],1,0)</f>
        <v>1</v>
      </c>
      <c r="D15" s="120">
        <v>2016</v>
      </c>
      <c r="E15" s="23">
        <v>54900</v>
      </c>
      <c r="F15" s="23">
        <v>3500</v>
      </c>
      <c r="G15" s="23">
        <v>54900</v>
      </c>
      <c r="H15" s="122">
        <f>G15/12</f>
        <v>4575</v>
      </c>
      <c r="I15" s="123">
        <f t="shared" si="1"/>
        <v>55471.428571428572</v>
      </c>
      <c r="K15" s="72">
        <f>K13-K14</f>
        <v>1996971.4285714291</v>
      </c>
      <c r="L15" t="s">
        <v>36</v>
      </c>
      <c r="Z15" s="314" t="s">
        <v>187</v>
      </c>
      <c r="AA15" s="317">
        <v>6.4000000000000001E-2</v>
      </c>
      <c r="AB15" t="s">
        <v>275</v>
      </c>
    </row>
    <row r="16" spans="1:28" ht="15.75" thickBot="1" x14ac:dyDescent="0.3">
      <c r="B16" s="110">
        <v>12</v>
      </c>
      <c r="C16" s="117">
        <f>IF(Ajustement_revenu[[#This Row],[Revenus admissibles]]=Ajustement_revenu[[#This Row],[MGA]],1,0)</f>
        <v>1</v>
      </c>
      <c r="D16" s="120">
        <v>2015</v>
      </c>
      <c r="E16" s="11">
        <v>53600</v>
      </c>
      <c r="F16" s="11">
        <v>3500</v>
      </c>
      <c r="G16" s="11">
        <v>53600</v>
      </c>
      <c r="H16" s="124">
        <f t="shared" si="0"/>
        <v>4466.666666666667</v>
      </c>
      <c r="I16" s="125">
        <f t="shared" si="1"/>
        <v>55471.42857142858</v>
      </c>
      <c r="K16" s="71">
        <f>K10-K11</f>
        <v>432</v>
      </c>
      <c r="L16" t="s">
        <v>116</v>
      </c>
      <c r="Z16" s="315" t="s">
        <v>183</v>
      </c>
      <c r="AA16" s="326">
        <f>AA9</f>
        <v>48000</v>
      </c>
    </row>
    <row r="17" spans="2:27" ht="16.5" thickTop="1" thickBot="1" x14ac:dyDescent="0.3">
      <c r="B17" s="110">
        <v>12</v>
      </c>
      <c r="C17" s="117">
        <f>IF(Ajustement_revenu[[#This Row],[Revenus admissibles]]=Ajustement_revenu[[#This Row],[MGA]],1,0)</f>
        <v>1</v>
      </c>
      <c r="D17" s="120">
        <v>2014</v>
      </c>
      <c r="E17" s="11">
        <v>52500</v>
      </c>
      <c r="F17" s="11">
        <v>3500</v>
      </c>
      <c r="G17" s="11">
        <v>52500</v>
      </c>
      <c r="H17" s="124">
        <f t="shared" si="0"/>
        <v>4375</v>
      </c>
      <c r="I17" s="125">
        <f t="shared" si="1"/>
        <v>55471.428571428572</v>
      </c>
      <c r="K17" s="72">
        <f>25%*(K15/K16)</f>
        <v>1155.6547619047622</v>
      </c>
      <c r="L17" t="s">
        <v>115</v>
      </c>
      <c r="Z17" s="316" t="s">
        <v>192</v>
      </c>
      <c r="AA17" s="327">
        <f>AA16*AA15</f>
        <v>3072</v>
      </c>
    </row>
    <row r="18" spans="2:27" ht="16.5" thickTop="1" thickBot="1" x14ac:dyDescent="0.3">
      <c r="B18" s="110">
        <v>12</v>
      </c>
      <c r="C18" s="117">
        <f>IF(Ajustement_revenu[[#This Row],[Revenus admissibles]]=Ajustement_revenu[[#This Row],[MGA]],1,0)</f>
        <v>1</v>
      </c>
      <c r="D18" s="120">
        <v>2013</v>
      </c>
      <c r="E18" s="11">
        <v>51100</v>
      </c>
      <c r="F18" s="11">
        <v>3500</v>
      </c>
      <c r="G18" s="11">
        <v>51100</v>
      </c>
      <c r="H18" s="124">
        <f>G18/12</f>
        <v>4258.333333333333</v>
      </c>
      <c r="I18" s="125">
        <f t="shared" si="1"/>
        <v>55471.428571428572</v>
      </c>
      <c r="K18" s="72">
        <f>K17*12</f>
        <v>13867.857142857145</v>
      </c>
      <c r="L18" t="s">
        <v>41</v>
      </c>
      <c r="O18" s="8"/>
    </row>
    <row r="19" spans="2:27" ht="16.5" thickTop="1" thickBot="1" x14ac:dyDescent="0.3">
      <c r="B19" s="110">
        <v>12</v>
      </c>
      <c r="C19" s="117">
        <f>IF(Ajustement_revenu[[#This Row],[Revenus admissibles]]=Ajustement_revenu[[#This Row],[MGA]],1,0)</f>
        <v>1</v>
      </c>
      <c r="D19" s="120">
        <v>2012</v>
      </c>
      <c r="E19" s="11">
        <v>50100</v>
      </c>
      <c r="F19" s="11">
        <v>3500</v>
      </c>
      <c r="G19" s="11">
        <v>50100</v>
      </c>
      <c r="H19" s="124">
        <f t="shared" ref="H19:H65" si="2">G19/12</f>
        <v>4175</v>
      </c>
      <c r="I19" s="125">
        <f t="shared" si="1"/>
        <v>55471.42857142858</v>
      </c>
      <c r="K19" s="70">
        <v>1208.26</v>
      </c>
      <c r="L19" t="s">
        <v>269</v>
      </c>
      <c r="N19" s="8"/>
      <c r="P19" s="8"/>
      <c r="Z19" s="313" t="s">
        <v>188</v>
      </c>
      <c r="AA19" s="312">
        <f>AA17/AA10</f>
        <v>12.8</v>
      </c>
    </row>
    <row r="20" spans="2:27" ht="16.5" thickTop="1" thickBot="1" x14ac:dyDescent="0.3">
      <c r="B20" s="110">
        <v>12</v>
      </c>
      <c r="C20" s="117">
        <f>IF(Ajustement_revenu[[#This Row],[Revenus admissibles]]=Ajustement_revenu[[#This Row],[MGA]],1,0)</f>
        <v>1</v>
      </c>
      <c r="D20" s="120">
        <v>2011</v>
      </c>
      <c r="E20" s="11">
        <v>48300</v>
      </c>
      <c r="F20" s="11">
        <v>3500</v>
      </c>
      <c r="G20" s="11">
        <v>48300</v>
      </c>
      <c r="H20" s="124">
        <f t="shared" si="2"/>
        <v>4025</v>
      </c>
      <c r="I20" s="125">
        <f t="shared" si="1"/>
        <v>55471.428571428572</v>
      </c>
      <c r="K20" s="73">
        <f>K19*12</f>
        <v>14499.119999999999</v>
      </c>
      <c r="L20" t="s">
        <v>46</v>
      </c>
      <c r="N20" s="8"/>
    </row>
    <row r="21" spans="2:27" ht="16.5" thickTop="1" thickBot="1" x14ac:dyDescent="0.3">
      <c r="B21" s="110">
        <v>12</v>
      </c>
      <c r="C21" s="117">
        <f>IF(Ajustement_revenu[[#This Row],[Revenus admissibles]]=Ajustement_revenu[[#This Row],[MGA]],1,0)</f>
        <v>1</v>
      </c>
      <c r="D21" s="120">
        <v>2010</v>
      </c>
      <c r="E21" s="11">
        <v>47200</v>
      </c>
      <c r="F21" s="11">
        <v>3500</v>
      </c>
      <c r="G21" s="11">
        <v>47200</v>
      </c>
      <c r="H21" s="124">
        <f t="shared" si="2"/>
        <v>3933.3333333333335</v>
      </c>
      <c r="I21" s="125">
        <f t="shared" si="1"/>
        <v>55471.428571428572</v>
      </c>
      <c r="Z21" s="328"/>
    </row>
    <row r="22" spans="2:27" ht="16.5" thickTop="1" thickBot="1" x14ac:dyDescent="0.3">
      <c r="B22" s="110">
        <v>12</v>
      </c>
      <c r="C22" s="117">
        <f>IF(Ajustement_revenu[[#This Row],[Revenus admissibles]]=Ajustement_revenu[[#This Row],[MGA]],1,0)</f>
        <v>1</v>
      </c>
      <c r="D22" s="120">
        <v>2009</v>
      </c>
      <c r="E22" s="11">
        <v>46300</v>
      </c>
      <c r="F22" s="11">
        <v>3500</v>
      </c>
      <c r="G22" s="11">
        <v>46300</v>
      </c>
      <c r="H22" s="124">
        <f t="shared" si="2"/>
        <v>3858.3333333333335</v>
      </c>
      <c r="I22" s="125">
        <f t="shared" si="1"/>
        <v>55471.428571428572</v>
      </c>
      <c r="K22" s="95">
        <f>K19*12</f>
        <v>14499.119999999999</v>
      </c>
      <c r="L22" t="s">
        <v>78</v>
      </c>
      <c r="Q22" s="67"/>
      <c r="R22" s="67"/>
      <c r="S22" s="67"/>
    </row>
    <row r="23" spans="2:27" ht="16.5" thickTop="1" thickBot="1" x14ac:dyDescent="0.3">
      <c r="B23" s="110">
        <v>12</v>
      </c>
      <c r="C23" s="117">
        <f>IF(Ajustement_revenu[[#This Row],[Revenus admissibles]]=Ajustement_revenu[[#This Row],[MGA]],1,0)</f>
        <v>1</v>
      </c>
      <c r="D23" s="120">
        <v>2008</v>
      </c>
      <c r="E23" s="11">
        <v>44900</v>
      </c>
      <c r="F23" s="11">
        <v>3500</v>
      </c>
      <c r="G23" s="11">
        <v>44900</v>
      </c>
      <c r="H23" s="124">
        <f t="shared" si="2"/>
        <v>3741.6666666666665</v>
      </c>
      <c r="I23" s="125">
        <f t="shared" si="1"/>
        <v>55471.428571428572</v>
      </c>
      <c r="Q23" s="67"/>
      <c r="R23" s="67"/>
      <c r="S23" s="67"/>
    </row>
    <row r="24" spans="2:27" ht="16.5" thickTop="1" thickBot="1" x14ac:dyDescent="0.3">
      <c r="B24" s="110">
        <v>12</v>
      </c>
      <c r="C24" s="117">
        <f>IF(Ajustement_revenu[[#This Row],[Revenus admissibles]]=Ajustement_revenu[[#This Row],[MGA]],1,0)</f>
        <v>1</v>
      </c>
      <c r="D24" s="120">
        <v>2007</v>
      </c>
      <c r="E24" s="11">
        <v>43700</v>
      </c>
      <c r="F24" s="11">
        <v>3500</v>
      </c>
      <c r="G24" s="11">
        <v>43700</v>
      </c>
      <c r="H24" s="124">
        <f t="shared" si="2"/>
        <v>3641.6666666666665</v>
      </c>
      <c r="I24" s="125">
        <f t="shared" si="1"/>
        <v>55471.428571428572</v>
      </c>
      <c r="K24" s="87">
        <f>AVERAGE(G12:G18)</f>
        <v>54385.714285714283</v>
      </c>
      <c r="L24" t="s">
        <v>65</v>
      </c>
      <c r="Q24" s="67"/>
      <c r="R24" s="67"/>
      <c r="S24" s="67"/>
    </row>
    <row r="25" spans="2:27" ht="15.75" thickTop="1" x14ac:dyDescent="0.25">
      <c r="B25" s="110">
        <v>12</v>
      </c>
      <c r="C25" s="117">
        <f>IF(Ajustement_revenu[[#This Row],[Revenus admissibles]]=Ajustement_revenu[[#This Row],[MGA]],1,0)</f>
        <v>1</v>
      </c>
      <c r="D25" s="120">
        <v>2006</v>
      </c>
      <c r="E25" s="11">
        <v>42100</v>
      </c>
      <c r="F25" s="11">
        <v>3500</v>
      </c>
      <c r="G25" s="11">
        <v>42100</v>
      </c>
      <c r="H25" s="124">
        <f t="shared" si="2"/>
        <v>3508.3333333333335</v>
      </c>
      <c r="I25" s="125">
        <f t="shared" si="1"/>
        <v>55471.428571428572</v>
      </c>
      <c r="Q25" s="67"/>
      <c r="R25" s="67"/>
      <c r="S25" s="67"/>
    </row>
    <row r="26" spans="2:27" x14ac:dyDescent="0.25">
      <c r="B26" s="110">
        <v>12</v>
      </c>
      <c r="C26" s="117">
        <f>IF(Ajustement_revenu[[#This Row],[Revenus admissibles]]=Ajustement_revenu[[#This Row],[MGA]],1,0)</f>
        <v>1</v>
      </c>
      <c r="D26" s="120">
        <v>2005</v>
      </c>
      <c r="E26" s="11">
        <v>41100</v>
      </c>
      <c r="F26" s="11">
        <v>3500</v>
      </c>
      <c r="G26" s="11">
        <v>41100</v>
      </c>
      <c r="H26" s="124">
        <f t="shared" si="2"/>
        <v>3425</v>
      </c>
      <c r="I26" s="125">
        <f t="shared" si="1"/>
        <v>55471.428571428565</v>
      </c>
      <c r="Q26" s="67"/>
      <c r="R26" s="67"/>
      <c r="S26" s="67"/>
    </row>
    <row r="27" spans="2:27" x14ac:dyDescent="0.25">
      <c r="B27" s="110">
        <v>12</v>
      </c>
      <c r="C27" s="117">
        <f>IF(Ajustement_revenu[[#This Row],[Revenus admissibles]]=Ajustement_revenu[[#This Row],[MGA]],1,0)</f>
        <v>1</v>
      </c>
      <c r="D27" s="120">
        <v>2004</v>
      </c>
      <c r="E27" s="11">
        <v>40500</v>
      </c>
      <c r="F27" s="11">
        <v>3500</v>
      </c>
      <c r="G27" s="11">
        <v>40500</v>
      </c>
      <c r="H27" s="124">
        <f t="shared" si="2"/>
        <v>3375</v>
      </c>
      <c r="I27" s="125">
        <f t="shared" si="1"/>
        <v>55471.428571428572</v>
      </c>
      <c r="K27" s="9" t="s">
        <v>42</v>
      </c>
      <c r="Q27" s="68"/>
      <c r="R27" s="67"/>
      <c r="S27" s="8"/>
    </row>
    <row r="28" spans="2:27" ht="15.75" thickBot="1" x14ac:dyDescent="0.3">
      <c r="B28" s="110">
        <v>12</v>
      </c>
      <c r="C28" s="117">
        <f>IF(Ajustement_revenu[[#This Row],[Revenus admissibles]]=Ajustement_revenu[[#This Row],[MGA]],1,0)</f>
        <v>1</v>
      </c>
      <c r="D28" s="120">
        <v>2003</v>
      </c>
      <c r="E28" s="11">
        <v>39900</v>
      </c>
      <c r="F28" s="11">
        <v>3500</v>
      </c>
      <c r="G28" s="11">
        <v>39900</v>
      </c>
      <c r="H28" s="124">
        <f t="shared" si="2"/>
        <v>3325</v>
      </c>
      <c r="I28" s="125">
        <f t="shared" si="1"/>
        <v>55471.428571428572</v>
      </c>
      <c r="K28" s="37" t="s">
        <v>60</v>
      </c>
      <c r="R28" s="67"/>
      <c r="T28" s="68"/>
    </row>
    <row r="29" spans="2:27" ht="15.75" thickTop="1" x14ac:dyDescent="0.25">
      <c r="B29" s="110">
        <v>12</v>
      </c>
      <c r="C29" s="117">
        <f>IF(Ajustement_revenu[[#This Row],[Revenus admissibles]]=Ajustement_revenu[[#This Row],[MGA]],1,0)</f>
        <v>1</v>
      </c>
      <c r="D29" s="120">
        <v>2002</v>
      </c>
      <c r="E29" s="11">
        <v>39100</v>
      </c>
      <c r="F29" s="11">
        <v>3500</v>
      </c>
      <c r="G29" s="11">
        <v>39100</v>
      </c>
      <c r="H29" s="124">
        <f t="shared" si="2"/>
        <v>3258.3333333333335</v>
      </c>
      <c r="I29" s="125">
        <f t="shared" si="1"/>
        <v>55471.428571428572</v>
      </c>
      <c r="K29" s="80">
        <v>6.0000000000000001E-3</v>
      </c>
      <c r="L29" t="s">
        <v>55</v>
      </c>
      <c r="O29" s="67"/>
      <c r="R29" s="67"/>
      <c r="S29" s="67"/>
      <c r="U29" s="8"/>
    </row>
    <row r="30" spans="2:27" x14ac:dyDescent="0.25">
      <c r="B30" s="110">
        <v>12</v>
      </c>
      <c r="C30" s="117">
        <f>IF(Ajustement_revenu[[#This Row],[Revenus admissibles]]=Ajustement_revenu[[#This Row],[MGA]],1,0)</f>
        <v>1</v>
      </c>
      <c r="D30" s="120">
        <v>2001</v>
      </c>
      <c r="E30" s="11">
        <v>38300</v>
      </c>
      <c r="F30" s="11">
        <v>3500</v>
      </c>
      <c r="G30" s="11">
        <v>38300</v>
      </c>
      <c r="H30" s="124">
        <f t="shared" si="2"/>
        <v>3191.6666666666665</v>
      </c>
      <c r="I30" s="125">
        <f t="shared" si="1"/>
        <v>55471.428571428572</v>
      </c>
      <c r="K30" s="81"/>
      <c r="L30" t="s">
        <v>56</v>
      </c>
    </row>
    <row r="31" spans="2:27" x14ac:dyDescent="0.25">
      <c r="B31" s="110">
        <v>12</v>
      </c>
      <c r="C31" s="117">
        <f>IF(Ajustement_revenu[[#This Row],[Revenus admissibles]]=Ajustement_revenu[[#This Row],[MGA]],1,0)</f>
        <v>1</v>
      </c>
      <c r="D31" s="120">
        <v>2000</v>
      </c>
      <c r="E31" s="11">
        <v>37600</v>
      </c>
      <c r="F31" s="11">
        <v>3500</v>
      </c>
      <c r="G31" s="11">
        <v>37600</v>
      </c>
      <c r="H31" s="124">
        <f t="shared" si="2"/>
        <v>3133.3333333333335</v>
      </c>
      <c r="I31" s="125">
        <f t="shared" si="1"/>
        <v>55471.428571428572</v>
      </c>
      <c r="K31" s="82">
        <f>IF(K30&gt;=1,K17-(K17*K29*K30),0)</f>
        <v>0</v>
      </c>
      <c r="L31" t="s">
        <v>43</v>
      </c>
      <c r="U31" s="44"/>
    </row>
    <row r="32" spans="2:27" x14ac:dyDescent="0.25">
      <c r="B32" s="110">
        <v>12</v>
      </c>
      <c r="C32" s="117">
        <f>IF(Ajustement_revenu[[#This Row],[Revenus admissibles]]=Ajustement_revenu[[#This Row],[MGA]],1,0)</f>
        <v>1</v>
      </c>
      <c r="D32" s="120">
        <v>1999</v>
      </c>
      <c r="E32" s="11">
        <v>37400</v>
      </c>
      <c r="F32" s="11">
        <v>3500</v>
      </c>
      <c r="G32" s="11">
        <v>37400</v>
      </c>
      <c r="H32" s="124">
        <f t="shared" si="2"/>
        <v>3116.6666666666665</v>
      </c>
      <c r="I32" s="125">
        <f t="shared" si="1"/>
        <v>55471.428571428572</v>
      </c>
      <c r="K32" s="83">
        <v>7.0000000000000001E-3</v>
      </c>
      <c r="L32" t="s">
        <v>44</v>
      </c>
    </row>
    <row r="33" spans="2:15" x14ac:dyDescent="0.25">
      <c r="B33" s="110">
        <v>12</v>
      </c>
      <c r="C33" s="117">
        <f>IF(Ajustement_revenu[[#This Row],[Revenus admissibles]]=Ajustement_revenu[[#This Row],[MGA]],1,0)</f>
        <v>1</v>
      </c>
      <c r="D33" s="120">
        <v>1998</v>
      </c>
      <c r="E33" s="11">
        <v>36900</v>
      </c>
      <c r="F33" s="11">
        <v>3500</v>
      </c>
      <c r="G33" s="11">
        <v>36900</v>
      </c>
      <c r="H33" s="124">
        <f t="shared" si="2"/>
        <v>3075</v>
      </c>
      <c r="I33" s="125">
        <f t="shared" si="1"/>
        <v>55471.428571428572</v>
      </c>
      <c r="K33" s="84"/>
      <c r="L33" t="s">
        <v>45</v>
      </c>
      <c r="O33" s="67"/>
    </row>
    <row r="34" spans="2:15" ht="15.75" thickBot="1" x14ac:dyDescent="0.3">
      <c r="B34" s="110">
        <v>12</v>
      </c>
      <c r="C34" s="117">
        <f>IF(Ajustement_revenu[[#This Row],[Revenus admissibles]]=Ajustement_revenu[[#This Row],[MGA]],1,0)</f>
        <v>1</v>
      </c>
      <c r="D34" s="120">
        <v>1997</v>
      </c>
      <c r="E34" s="11">
        <v>35800</v>
      </c>
      <c r="F34" s="11">
        <v>3500</v>
      </c>
      <c r="G34" s="11">
        <v>35800</v>
      </c>
      <c r="H34" s="124">
        <f t="shared" si="2"/>
        <v>2983.3333333333335</v>
      </c>
      <c r="I34" s="125">
        <f t="shared" si="1"/>
        <v>55471.428571428572</v>
      </c>
      <c r="K34" s="85">
        <f>IF(K33&gt;60,K17*60*K32,K17*K33*K32)</f>
        <v>0</v>
      </c>
      <c r="L34" t="s">
        <v>57</v>
      </c>
    </row>
    <row r="35" spans="2:15" ht="16.5" thickTop="1" thickBot="1" x14ac:dyDescent="0.3">
      <c r="B35" s="110">
        <v>12</v>
      </c>
      <c r="C35" s="117">
        <f>IF(Ajustement_revenu[[#This Row],[Revenus admissibles]]=Ajustement_revenu[[#This Row],[MGA]],1,0)</f>
        <v>1</v>
      </c>
      <c r="D35" s="120">
        <v>1996</v>
      </c>
      <c r="E35" s="11">
        <v>35400</v>
      </c>
      <c r="F35" s="11">
        <v>3500</v>
      </c>
      <c r="G35" s="11">
        <v>35400</v>
      </c>
      <c r="H35" s="124">
        <f t="shared" si="2"/>
        <v>2950</v>
      </c>
      <c r="I35" s="125">
        <f t="shared" si="1"/>
        <v>55471.428571428572</v>
      </c>
      <c r="K35" s="79">
        <f>K17-K31+K34</f>
        <v>1155.6547619047622</v>
      </c>
      <c r="L35" t="s">
        <v>58</v>
      </c>
    </row>
    <row r="36" spans="2:15" ht="15.75" thickTop="1" x14ac:dyDescent="0.25">
      <c r="B36" s="110">
        <v>12</v>
      </c>
      <c r="C36" s="117">
        <f>IF(Ajustement_revenu[[#This Row],[Revenus admissibles]]=Ajustement_revenu[[#This Row],[MGA]],1,0)</f>
        <v>1</v>
      </c>
      <c r="D36" s="120">
        <v>1995</v>
      </c>
      <c r="E36" s="11">
        <v>34900</v>
      </c>
      <c r="F36" s="11">
        <v>3400</v>
      </c>
      <c r="G36" s="11">
        <v>34900</v>
      </c>
      <c r="H36" s="124">
        <f t="shared" si="2"/>
        <v>2908.3333333333335</v>
      </c>
      <c r="I36" s="125">
        <f t="shared" si="1"/>
        <v>55471.428571428572</v>
      </c>
      <c r="M36" s="41">
        <v>18980</v>
      </c>
    </row>
    <row r="37" spans="2:15" x14ac:dyDescent="0.25">
      <c r="B37" s="110">
        <v>12</v>
      </c>
      <c r="C37" s="117">
        <f>IF(Ajustement_revenu[[#This Row],[Revenus admissibles]]=Ajustement_revenu[[#This Row],[MGA]],1,0)</f>
        <v>1</v>
      </c>
      <c r="D37" s="120">
        <v>1994</v>
      </c>
      <c r="E37" s="11">
        <v>34400</v>
      </c>
      <c r="F37" s="11">
        <v>3400</v>
      </c>
      <c r="G37" s="11">
        <v>34400</v>
      </c>
      <c r="H37" s="124">
        <f t="shared" si="2"/>
        <v>2866.6666666666665</v>
      </c>
      <c r="I37" s="125">
        <f t="shared" si="1"/>
        <v>55471.428571428572</v>
      </c>
    </row>
    <row r="38" spans="2:15" x14ac:dyDescent="0.25">
      <c r="B38" s="110">
        <v>12</v>
      </c>
      <c r="C38" s="117">
        <f>IF(Ajustement_revenu[[#This Row],[Revenus admissibles]]=Ajustement_revenu[[#This Row],[MGA]],1,0)</f>
        <v>1</v>
      </c>
      <c r="D38" s="120">
        <v>1993</v>
      </c>
      <c r="E38" s="11">
        <v>33400</v>
      </c>
      <c r="F38" s="11">
        <v>3300</v>
      </c>
      <c r="G38" s="11">
        <v>33400</v>
      </c>
      <c r="H38" s="124">
        <f t="shared" si="2"/>
        <v>2783.3333333333335</v>
      </c>
      <c r="I38" s="125">
        <f t="shared" si="1"/>
        <v>55471.428571428572</v>
      </c>
      <c r="K38" s="44">
        <f>K19</f>
        <v>1208.26</v>
      </c>
      <c r="L38" t="s">
        <v>52</v>
      </c>
      <c r="O38" s="44">
        <f>K38*12</f>
        <v>14499.119999999999</v>
      </c>
    </row>
    <row r="39" spans="2:15" x14ac:dyDescent="0.25">
      <c r="B39" s="110">
        <v>12</v>
      </c>
      <c r="C39" s="117">
        <f>IF(Ajustement_revenu[[#This Row],[Revenus admissibles]]=Ajustement_revenu[[#This Row],[MGA]],1,0)</f>
        <v>1</v>
      </c>
      <c r="D39" s="120">
        <v>1992</v>
      </c>
      <c r="E39" s="11">
        <v>32200</v>
      </c>
      <c r="F39" s="11">
        <v>3200</v>
      </c>
      <c r="G39" s="11">
        <v>32200</v>
      </c>
      <c r="H39" s="124">
        <f t="shared" si="2"/>
        <v>2683.3333333333335</v>
      </c>
      <c r="I39" s="125">
        <f t="shared" si="1"/>
        <v>55471.428571428572</v>
      </c>
      <c r="K39" s="44">
        <f>64%*K38</f>
        <v>773.28639999999996</v>
      </c>
      <c r="L39" t="s">
        <v>53</v>
      </c>
      <c r="O39" s="44">
        <f>K39*12</f>
        <v>9279.4367999999995</v>
      </c>
    </row>
    <row r="40" spans="2:15" x14ac:dyDescent="0.25">
      <c r="B40" s="110">
        <v>12</v>
      </c>
      <c r="C40" s="117">
        <f>IF(Ajustement_revenu[[#This Row],[Revenus admissibles]]=Ajustement_revenu[[#This Row],[MGA]],1,0)</f>
        <v>1</v>
      </c>
      <c r="D40" s="120">
        <v>1991</v>
      </c>
      <c r="E40" s="11">
        <v>30500</v>
      </c>
      <c r="F40" s="11">
        <v>3000</v>
      </c>
      <c r="G40" s="11">
        <v>30500</v>
      </c>
      <c r="H40" s="124">
        <f t="shared" si="2"/>
        <v>2541.6666666666665</v>
      </c>
      <c r="I40" s="125">
        <f t="shared" si="1"/>
        <v>55471.428571428572</v>
      </c>
      <c r="K40" s="44">
        <f>142%*K38</f>
        <v>1715.7292</v>
      </c>
      <c r="L40" t="s">
        <v>54</v>
      </c>
      <c r="O40" s="44">
        <f>K40*12</f>
        <v>20588.750400000001</v>
      </c>
    </row>
    <row r="41" spans="2:15" x14ac:dyDescent="0.25">
      <c r="B41" s="110">
        <v>12</v>
      </c>
      <c r="C41" s="117">
        <f>IF(Ajustement_revenu[[#This Row],[Revenus admissibles]]=Ajustement_revenu[[#This Row],[MGA]],1,0)</f>
        <v>1</v>
      </c>
      <c r="D41" s="120">
        <v>1990</v>
      </c>
      <c r="E41" s="11">
        <v>28900</v>
      </c>
      <c r="F41" s="11">
        <v>2800</v>
      </c>
      <c r="G41" s="11">
        <v>28900</v>
      </c>
      <c r="H41" s="124">
        <f t="shared" si="2"/>
        <v>2408.3333333333335</v>
      </c>
      <c r="I41" s="125">
        <f t="shared" si="1"/>
        <v>55471.42857142858</v>
      </c>
    </row>
    <row r="42" spans="2:15" x14ac:dyDescent="0.25">
      <c r="B42" s="110">
        <v>12</v>
      </c>
      <c r="C42" s="117">
        <f>IF(Ajustement_revenu[[#This Row],[Revenus admissibles]]=Ajustement_revenu[[#This Row],[MGA]],1,0)</f>
        <v>1</v>
      </c>
      <c r="D42" s="120">
        <v>1989</v>
      </c>
      <c r="E42" s="11">
        <v>27700</v>
      </c>
      <c r="F42" s="11">
        <v>2700</v>
      </c>
      <c r="G42" s="11">
        <v>27700</v>
      </c>
      <c r="H42" s="124">
        <f t="shared" si="2"/>
        <v>2308.3333333333335</v>
      </c>
      <c r="I42" s="125">
        <f t="shared" si="1"/>
        <v>55471.428571428572</v>
      </c>
      <c r="J42" s="8"/>
      <c r="K42" s="8"/>
      <c r="M42" s="8"/>
      <c r="N42" s="8"/>
      <c r="O42" s="8"/>
    </row>
    <row r="43" spans="2:15" x14ac:dyDescent="0.25">
      <c r="B43" s="110">
        <v>12</v>
      </c>
      <c r="C43" s="117">
        <f>IF(Ajustement_revenu[[#This Row],[Revenus admissibles]]=Ajustement_revenu[[#This Row],[MGA]],1,0)</f>
        <v>1</v>
      </c>
      <c r="D43" s="120">
        <v>1988</v>
      </c>
      <c r="E43" s="11">
        <v>26500</v>
      </c>
      <c r="F43" s="11">
        <v>2600</v>
      </c>
      <c r="G43" s="11">
        <v>26500</v>
      </c>
      <c r="H43" s="124">
        <f t="shared" si="2"/>
        <v>2208.3333333333335</v>
      </c>
      <c r="I43" s="125">
        <f t="shared" si="1"/>
        <v>55471.428571428572</v>
      </c>
      <c r="J43" s="8"/>
      <c r="K43" s="44"/>
      <c r="M43" s="8"/>
      <c r="N43" s="8"/>
      <c r="O43" s="8"/>
    </row>
    <row r="44" spans="2:15" x14ac:dyDescent="0.25">
      <c r="B44" s="110">
        <v>12</v>
      </c>
      <c r="C44" s="117">
        <f>IF(Ajustement_revenu[[#This Row],[Revenus admissibles]]=Ajustement_revenu[[#This Row],[MGA]],1,0)</f>
        <v>1</v>
      </c>
      <c r="D44" s="120">
        <v>1987</v>
      </c>
      <c r="E44" s="11">
        <v>25900</v>
      </c>
      <c r="F44" s="11">
        <v>2500</v>
      </c>
      <c r="G44" s="11">
        <v>25900</v>
      </c>
      <c r="H44" s="124">
        <f t="shared" si="2"/>
        <v>2158.3333333333335</v>
      </c>
      <c r="I44" s="125">
        <f t="shared" si="1"/>
        <v>55471.428571428572</v>
      </c>
      <c r="L44" s="44"/>
    </row>
    <row r="45" spans="2:15" x14ac:dyDescent="0.25">
      <c r="B45" s="110">
        <v>12</v>
      </c>
      <c r="C45" s="117">
        <f>IF(Ajustement_revenu[[#This Row],[Revenus admissibles]]=Ajustement_revenu[[#This Row],[MGA]],1,0)</f>
        <v>1</v>
      </c>
      <c r="D45" s="120">
        <v>1986</v>
      </c>
      <c r="E45" s="11">
        <v>25800</v>
      </c>
      <c r="F45" s="11">
        <v>2500</v>
      </c>
      <c r="G45" s="11">
        <v>25800</v>
      </c>
      <c r="H45" s="124">
        <f t="shared" si="2"/>
        <v>2150</v>
      </c>
      <c r="I45" s="125">
        <f t="shared" si="1"/>
        <v>55471.428571428565</v>
      </c>
      <c r="L45" s="44"/>
      <c r="M45" s="44"/>
    </row>
    <row r="46" spans="2:15" x14ac:dyDescent="0.25">
      <c r="B46" s="110">
        <v>12</v>
      </c>
      <c r="C46" s="117">
        <f>IF(Ajustement_revenu[[#This Row],[Revenus admissibles]]=Ajustement_revenu[[#This Row],[MGA]],1,0)</f>
        <v>0</v>
      </c>
      <c r="D46" s="120">
        <v>1985</v>
      </c>
      <c r="E46" s="11">
        <v>23400</v>
      </c>
      <c r="F46" s="11">
        <v>2300</v>
      </c>
      <c r="G46" s="11">
        <v>20322</v>
      </c>
      <c r="H46" s="124">
        <f t="shared" si="2"/>
        <v>1693.5</v>
      </c>
      <c r="I46" s="125">
        <f t="shared" si="1"/>
        <v>48174.802197802201</v>
      </c>
    </row>
    <row r="47" spans="2:15" ht="15.75" thickBot="1" x14ac:dyDescent="0.3">
      <c r="B47" s="110">
        <v>12</v>
      </c>
      <c r="C47" s="117">
        <f>IF(Ajustement_revenu[[#This Row],[Revenus admissibles]]=Ajustement_revenu[[#This Row],[MGA]],1,0)</f>
        <v>0</v>
      </c>
      <c r="D47" s="120">
        <v>1984</v>
      </c>
      <c r="E47" s="11">
        <v>20800</v>
      </c>
      <c r="F47" s="11">
        <v>2000</v>
      </c>
      <c r="G47" s="11">
        <v>17104</v>
      </c>
      <c r="H47" s="124">
        <f t="shared" si="2"/>
        <v>1425.3333333333333</v>
      </c>
      <c r="I47" s="125">
        <f t="shared" si="1"/>
        <v>45614.582417582416</v>
      </c>
    </row>
    <row r="48" spans="2:15" ht="15.75" thickTop="1" x14ac:dyDescent="0.25">
      <c r="B48" s="110">
        <v>12</v>
      </c>
      <c r="C48" s="117">
        <f>IF(Ajustement_revenu[[#This Row],[Revenus admissibles]]=Ajustement_revenu[[#This Row],[MGA]],1,0)</f>
        <v>0</v>
      </c>
      <c r="D48" s="120">
        <v>1983</v>
      </c>
      <c r="E48" s="11">
        <v>18500</v>
      </c>
      <c r="F48" s="11">
        <v>1800</v>
      </c>
      <c r="G48" s="11">
        <v>6271</v>
      </c>
      <c r="H48" s="124">
        <f t="shared" si="2"/>
        <v>522.58333333333337</v>
      </c>
      <c r="I48" s="125">
        <f t="shared" si="1"/>
        <v>18803.315057915061</v>
      </c>
      <c r="K48" s="88">
        <f>0.7%*Services_calcul*RRQ!K24</f>
        <v>10966.444199999998</v>
      </c>
      <c r="L48" t="s">
        <v>66</v>
      </c>
    </row>
    <row r="49" spans="2:12" ht="15.75" thickBot="1" x14ac:dyDescent="0.3">
      <c r="B49" s="110">
        <v>12</v>
      </c>
      <c r="C49" s="117">
        <f>IF(Ajustement_revenu[[#This Row],[Revenus admissibles]]=Ajustement_revenu[[#This Row],[MGA]],1,0)</f>
        <v>0</v>
      </c>
      <c r="D49" s="120">
        <v>1982</v>
      </c>
      <c r="E49" s="11">
        <v>16500</v>
      </c>
      <c r="F49" s="11">
        <v>1600</v>
      </c>
      <c r="G49" s="11">
        <v>3419</v>
      </c>
      <c r="H49" s="124">
        <f t="shared" si="2"/>
        <v>284.91666666666669</v>
      </c>
      <c r="I49" s="125">
        <f t="shared" si="1"/>
        <v>11494.352380952381</v>
      </c>
      <c r="K49" s="89">
        <f>K48/12</f>
        <v>913.8703499999998</v>
      </c>
      <c r="L49" t="s">
        <v>69</v>
      </c>
    </row>
    <row r="50" spans="2:12" ht="15.75" thickTop="1" x14ac:dyDescent="0.25">
      <c r="B50" s="110">
        <v>12</v>
      </c>
      <c r="C50" s="117">
        <f>IF(Ajustement_revenu[[#This Row],[Revenus admissibles]]=Ajustement_revenu[[#This Row],[MGA]],1,0)</f>
        <v>0</v>
      </c>
      <c r="D50" s="120">
        <v>1981</v>
      </c>
      <c r="E50" s="11">
        <v>14700</v>
      </c>
      <c r="F50" s="11">
        <v>1400</v>
      </c>
      <c r="G50" s="11">
        <v>3366</v>
      </c>
      <c r="H50" s="124">
        <f t="shared" si="2"/>
        <v>280.5</v>
      </c>
      <c r="I50" s="125">
        <f t="shared" si="1"/>
        <v>12701.825072886297</v>
      </c>
      <c r="K50" s="44">
        <f>K35</f>
        <v>1155.6547619047622</v>
      </c>
      <c r="L50" t="s">
        <v>68</v>
      </c>
    </row>
    <row r="51" spans="2:12" x14ac:dyDescent="0.25">
      <c r="B51" s="110">
        <v>12</v>
      </c>
      <c r="C51" s="117">
        <f>IF(Ajustement_revenu[[#This Row],[Revenus admissibles]]=Ajustement_revenu[[#This Row],[MGA]],1,0)</f>
        <v>0</v>
      </c>
      <c r="D51" s="120">
        <v>1980</v>
      </c>
      <c r="E51" s="11">
        <v>13100</v>
      </c>
      <c r="F51" s="11">
        <v>1300</v>
      </c>
      <c r="G51" s="11">
        <v>2573</v>
      </c>
      <c r="H51" s="124">
        <f t="shared" si="2"/>
        <v>214.41666666666666</v>
      </c>
      <c r="I51" s="125">
        <f t="shared" si="1"/>
        <v>10895.266085059979</v>
      </c>
    </row>
    <row r="52" spans="2:12" x14ac:dyDescent="0.25">
      <c r="B52" s="110">
        <v>0</v>
      </c>
      <c r="C52" s="117">
        <f>IF(Ajustement_revenu[[#This Row],[Revenus admissibles]]=Ajustement_revenu[[#This Row],[MGA]],1,0)</f>
        <v>0</v>
      </c>
      <c r="D52" s="120">
        <v>1979</v>
      </c>
      <c r="E52" s="11">
        <v>11700</v>
      </c>
      <c r="F52" s="11">
        <v>1100</v>
      </c>
      <c r="G52" s="11">
        <v>0</v>
      </c>
      <c r="H52" s="124">
        <f t="shared" si="2"/>
        <v>0</v>
      </c>
      <c r="I52" s="125">
        <f t="shared" si="1"/>
        <v>0</v>
      </c>
    </row>
    <row r="53" spans="2:12" x14ac:dyDescent="0.25">
      <c r="B53" s="110">
        <v>0</v>
      </c>
      <c r="C53" s="117">
        <f>IF(Ajustement_revenu[[#This Row],[Revenus admissibles]]=Ajustement_revenu[[#This Row],[MGA]],1,0)</f>
        <v>0</v>
      </c>
      <c r="D53" s="120">
        <v>1978</v>
      </c>
      <c r="E53" s="11">
        <v>10400</v>
      </c>
      <c r="F53" s="11">
        <v>900</v>
      </c>
      <c r="G53" s="11">
        <v>0</v>
      </c>
      <c r="H53" s="124">
        <f t="shared" si="2"/>
        <v>0</v>
      </c>
      <c r="I53" s="125">
        <f t="shared" si="1"/>
        <v>0</v>
      </c>
      <c r="K53">
        <f>IF(((65-Age_Ret)*12)&gt;0,(65-Age_Ret)*12,(Age_Ret-65)*12)</f>
        <v>55.000000000000028</v>
      </c>
      <c r="L53" t="str">
        <f>IF(65-Age_Ret&gt;0,"mois avant 65 ans lors de la prise de la retraite","mois après 65 ans")</f>
        <v>mois avant 65 ans lors de la prise de la retraite</v>
      </c>
    </row>
    <row r="54" spans="2:12" x14ac:dyDescent="0.25">
      <c r="B54" s="110">
        <v>0</v>
      </c>
      <c r="C54" s="117">
        <f>IF(Ajustement_revenu[[#This Row],[Revenus admissibles]]=Ajustement_revenu[[#This Row],[MGA]],1,0)</f>
        <v>0</v>
      </c>
      <c r="D54" s="120">
        <v>1977</v>
      </c>
      <c r="E54" s="11">
        <v>9300</v>
      </c>
      <c r="F54" s="11">
        <v>800</v>
      </c>
      <c r="G54" s="11">
        <v>0</v>
      </c>
      <c r="H54" s="124">
        <f t="shared" si="2"/>
        <v>0</v>
      </c>
      <c r="I54" s="125">
        <f t="shared" si="1"/>
        <v>0</v>
      </c>
      <c r="K54" s="44">
        <f>IF(65-Age_Ret&gt;0,IF(K53&gt;60,K35-(K29*60*K35),K35-(K53*K29*K35)),IF(K53&gt;60,K35+(K32*60*K35),(K53*K32*K35)))</f>
        <v>774.28869047619037</v>
      </c>
      <c r="L54" t="s">
        <v>67</v>
      </c>
    </row>
    <row r="55" spans="2:12" x14ac:dyDescent="0.25">
      <c r="B55" s="110">
        <v>0</v>
      </c>
      <c r="C55" s="117">
        <f>IF(Ajustement_revenu[[#This Row],[Revenus admissibles]]=Ajustement_revenu[[#This Row],[MGA]],1,0)</f>
        <v>0</v>
      </c>
      <c r="D55" s="120">
        <v>1976</v>
      </c>
      <c r="E55" s="11">
        <v>8300</v>
      </c>
      <c r="F55" s="11">
        <v>700</v>
      </c>
      <c r="G55" s="11">
        <v>0</v>
      </c>
      <c r="H55" s="124">
        <f t="shared" si="2"/>
        <v>0</v>
      </c>
      <c r="I55" s="125">
        <f t="shared" si="1"/>
        <v>0</v>
      </c>
    </row>
    <row r="56" spans="2:12" x14ac:dyDescent="0.25">
      <c r="B56" s="110">
        <v>0</v>
      </c>
      <c r="C56" s="117">
        <f>IF(Ajustement_revenu[[#This Row],[Revenus admissibles]]=Ajustement_revenu[[#This Row],[MGA]],1,0)</f>
        <v>0</v>
      </c>
      <c r="D56" s="120">
        <v>1975</v>
      </c>
      <c r="E56" s="11">
        <v>7400</v>
      </c>
      <c r="F56" s="11">
        <v>700</v>
      </c>
      <c r="G56" s="11">
        <v>0</v>
      </c>
      <c r="H56" s="124">
        <f t="shared" si="2"/>
        <v>0</v>
      </c>
      <c r="I56" s="125">
        <f t="shared" si="1"/>
        <v>0</v>
      </c>
      <c r="K56" s="44">
        <f>Estimation_sans_réduction/12</f>
        <v>4169.0443700000005</v>
      </c>
      <c r="L56" t="s">
        <v>88</v>
      </c>
    </row>
    <row r="57" spans="2:12" x14ac:dyDescent="0.25">
      <c r="B57" s="110">
        <v>0</v>
      </c>
      <c r="C57" s="117">
        <f>IF(Ajustement_revenu[[#This Row],[Revenus admissibles]]=Ajustement_revenu[[#This Row],[MGA]],1,0)</f>
        <v>0</v>
      </c>
      <c r="D57" s="120">
        <v>1974</v>
      </c>
      <c r="E57" s="11">
        <v>6600</v>
      </c>
      <c r="F57" s="11">
        <v>700</v>
      </c>
      <c r="G57" s="11">
        <v>0</v>
      </c>
      <c r="H57" s="124">
        <f t="shared" si="2"/>
        <v>0</v>
      </c>
      <c r="I57" s="125">
        <f t="shared" si="1"/>
        <v>0</v>
      </c>
    </row>
    <row r="58" spans="2:12" x14ac:dyDescent="0.25">
      <c r="B58" s="110">
        <v>0</v>
      </c>
      <c r="C58" s="117">
        <f>IF(Ajustement_revenu[[#This Row],[Revenus admissibles]]=Ajustement_revenu[[#This Row],[MGA]],1,0)</f>
        <v>0</v>
      </c>
      <c r="D58" s="120">
        <v>1973</v>
      </c>
      <c r="E58" s="11">
        <v>5900</v>
      </c>
      <c r="F58" s="11">
        <v>600</v>
      </c>
      <c r="G58" s="11">
        <v>0</v>
      </c>
      <c r="H58" s="124">
        <f t="shared" si="2"/>
        <v>0</v>
      </c>
      <c r="I58" s="125">
        <f t="shared" si="1"/>
        <v>0</v>
      </c>
      <c r="K58" s="44">
        <f>K56-K49+K35</f>
        <v>4410.8287819047628</v>
      </c>
      <c r="L58" t="s">
        <v>70</v>
      </c>
    </row>
    <row r="59" spans="2:12" x14ac:dyDescent="0.25">
      <c r="B59" s="110">
        <v>0</v>
      </c>
      <c r="C59" s="117">
        <f>IF(Ajustement_revenu[[#This Row],[Revenus admissibles]]=Ajustement_revenu[[#This Row],[MGA]],1,0)</f>
        <v>0</v>
      </c>
      <c r="D59" s="120">
        <v>1972</v>
      </c>
      <c r="E59" s="11">
        <v>5500</v>
      </c>
      <c r="F59" s="11">
        <v>600</v>
      </c>
      <c r="G59" s="11">
        <v>0</v>
      </c>
      <c r="H59" s="124">
        <f t="shared" si="2"/>
        <v>0</v>
      </c>
      <c r="I59" s="125">
        <f t="shared" si="1"/>
        <v>0</v>
      </c>
    </row>
    <row r="60" spans="2:12" x14ac:dyDescent="0.25">
      <c r="B60" s="110">
        <v>0</v>
      </c>
      <c r="C60" s="117">
        <f>IF(Ajustement_revenu[[#This Row],[Revenus admissibles]]=Ajustement_revenu[[#This Row],[MGA]],1,0)</f>
        <v>0</v>
      </c>
      <c r="D60" s="120">
        <v>1971</v>
      </c>
      <c r="E60" s="11">
        <v>5400</v>
      </c>
      <c r="F60" s="11">
        <v>600</v>
      </c>
      <c r="G60" s="11">
        <v>0</v>
      </c>
      <c r="H60" s="124">
        <f t="shared" si="2"/>
        <v>0</v>
      </c>
      <c r="I60" s="125">
        <f t="shared" si="1"/>
        <v>0</v>
      </c>
      <c r="K60" s="44">
        <f>K56+K54</f>
        <v>4943.3330604761904</v>
      </c>
      <c r="L60" t="s">
        <v>71</v>
      </c>
    </row>
    <row r="61" spans="2:12" x14ac:dyDescent="0.25">
      <c r="B61" s="110">
        <v>0</v>
      </c>
      <c r="C61" s="117">
        <f>IF(Ajustement_revenu[[#This Row],[Revenus admissibles]]=Ajustement_revenu[[#This Row],[MGA]],1,0)</f>
        <v>0</v>
      </c>
      <c r="D61" s="120">
        <v>1970</v>
      </c>
      <c r="E61" s="11">
        <v>5300</v>
      </c>
      <c r="F61" s="11">
        <v>600</v>
      </c>
      <c r="G61" s="11">
        <v>0</v>
      </c>
      <c r="H61" s="124">
        <f t="shared" si="2"/>
        <v>0</v>
      </c>
      <c r="I61" s="125">
        <f t="shared" si="1"/>
        <v>0</v>
      </c>
      <c r="J61" s="8"/>
      <c r="K61" s="44">
        <f>K56-K49+K54</f>
        <v>4029.4627104761912</v>
      </c>
      <c r="L61" t="s">
        <v>124</v>
      </c>
    </row>
    <row r="62" spans="2:12" x14ac:dyDescent="0.25">
      <c r="B62" s="110">
        <v>0</v>
      </c>
      <c r="C62" s="117">
        <f>IF(Ajustement_revenu[[#This Row],[Revenus admissibles]]=Ajustement_revenu[[#This Row],[MGA]],1,0)</f>
        <v>0</v>
      </c>
      <c r="D62" s="120">
        <v>1969</v>
      </c>
      <c r="E62" s="11">
        <v>5200</v>
      </c>
      <c r="F62" s="11">
        <v>600</v>
      </c>
      <c r="G62" s="11">
        <v>0</v>
      </c>
      <c r="H62" s="124">
        <f t="shared" si="2"/>
        <v>0</v>
      </c>
      <c r="I62" s="125">
        <f t="shared" si="1"/>
        <v>0</v>
      </c>
    </row>
    <row r="63" spans="2:12" x14ac:dyDescent="0.25">
      <c r="B63" s="110">
        <v>0</v>
      </c>
      <c r="C63" s="117">
        <f>IF(Ajustement_revenu[[#This Row],[Revenus admissibles]]=Ajustement_revenu[[#This Row],[MGA]],1,0)</f>
        <v>0</v>
      </c>
      <c r="D63" s="120">
        <v>1968</v>
      </c>
      <c r="E63" s="11">
        <v>5100</v>
      </c>
      <c r="F63" s="11">
        <v>600</v>
      </c>
      <c r="G63" s="11">
        <v>0</v>
      </c>
      <c r="H63" s="124">
        <f t="shared" si="2"/>
        <v>0</v>
      </c>
      <c r="I63" s="125">
        <f t="shared" si="1"/>
        <v>0</v>
      </c>
      <c r="K63" s="44">
        <f>K56-K61</f>
        <v>139.58165952380932</v>
      </c>
      <c r="L63" t="s">
        <v>72</v>
      </c>
    </row>
    <row r="64" spans="2:12" x14ac:dyDescent="0.25">
      <c r="B64" s="110">
        <v>0</v>
      </c>
      <c r="C64" s="117">
        <f>IF(Ajustement_revenu[[#This Row],[Revenus admissibles]]=Ajustement_revenu[[#This Row],[MGA]],1,0)</f>
        <v>0</v>
      </c>
      <c r="D64" s="120">
        <v>1967</v>
      </c>
      <c r="E64" s="11">
        <v>5000</v>
      </c>
      <c r="F64" s="11">
        <v>600</v>
      </c>
      <c r="G64" s="11">
        <v>0</v>
      </c>
      <c r="H64" s="124">
        <f t="shared" si="2"/>
        <v>0</v>
      </c>
      <c r="I64" s="125">
        <f t="shared" si="1"/>
        <v>0</v>
      </c>
      <c r="K64" s="44">
        <f>K53*(K60-K56)</f>
        <v>42585.877976190466</v>
      </c>
      <c r="L64" t="s">
        <v>75</v>
      </c>
    </row>
    <row r="65" spans="2:12" x14ac:dyDescent="0.25">
      <c r="B65" s="111">
        <v>0</v>
      </c>
      <c r="C65" s="118">
        <f>IF(Ajustement_revenu[[#This Row],[Revenus admissibles]]=Ajustement_revenu[[#This Row],[MGA]],1,0)</f>
        <v>0</v>
      </c>
      <c r="D65" s="121">
        <v>1966</v>
      </c>
      <c r="E65" s="112">
        <v>5000</v>
      </c>
      <c r="F65" s="112">
        <v>600</v>
      </c>
      <c r="G65" s="112">
        <v>0</v>
      </c>
      <c r="H65" s="126">
        <f t="shared" si="2"/>
        <v>0</v>
      </c>
      <c r="I65" s="127">
        <f t="shared" si="1"/>
        <v>0</v>
      </c>
      <c r="K65" s="49">
        <f>K64/K63</f>
        <v>305.09651569894345</v>
      </c>
      <c r="L65" t="s">
        <v>11</v>
      </c>
    </row>
    <row r="66" spans="2:12" x14ac:dyDescent="0.25">
      <c r="F66" s="2"/>
      <c r="G66" s="2"/>
      <c r="H66" s="2"/>
      <c r="K66" s="49">
        <f>K65/12</f>
        <v>25.42470964157862</v>
      </c>
      <c r="L66" t="s">
        <v>73</v>
      </c>
    </row>
    <row r="67" spans="2:12" x14ac:dyDescent="0.25">
      <c r="F67" s="2"/>
      <c r="G67" s="2"/>
      <c r="H67" s="2"/>
    </row>
    <row r="68" spans="2:12" ht="15.75" thickBot="1" x14ac:dyDescent="0.3">
      <c r="B68" s="90" t="s">
        <v>74</v>
      </c>
      <c r="F68" s="2"/>
      <c r="G68" s="2"/>
      <c r="K68" s="66" t="s">
        <v>76</v>
      </c>
    </row>
    <row r="69" spans="2:12" ht="15.75" thickTop="1" x14ac:dyDescent="0.25">
      <c r="F69" s="2"/>
      <c r="G69" s="2"/>
      <c r="H69" s="2"/>
      <c r="K69" s="91">
        <v>614.14</v>
      </c>
      <c r="L69" t="s">
        <v>270</v>
      </c>
    </row>
    <row r="70" spans="2:12" x14ac:dyDescent="0.25">
      <c r="B70" s="2"/>
      <c r="F70" s="2"/>
      <c r="G70" s="2"/>
      <c r="H70" s="68"/>
      <c r="K70" s="92">
        <v>6.0000000000000001E-3</v>
      </c>
      <c r="L70" t="s">
        <v>117</v>
      </c>
    </row>
    <row r="71" spans="2:12" x14ac:dyDescent="0.25">
      <c r="B71" s="2"/>
      <c r="F71" s="2"/>
      <c r="G71" s="2"/>
      <c r="H71" s="2"/>
      <c r="K71" s="93"/>
      <c r="L71" t="s">
        <v>45</v>
      </c>
    </row>
    <row r="72" spans="2:12" ht="15.75" thickBot="1" x14ac:dyDescent="0.3">
      <c r="B72" s="8">
        <f>SUM(I46:I65)-(4/12)*I46</f>
        <v>131625.87581293093</v>
      </c>
      <c r="C72" t="s">
        <v>61</v>
      </c>
      <c r="F72" s="2"/>
      <c r="G72" s="2"/>
      <c r="H72" s="2"/>
      <c r="K72" s="94">
        <f>IF(K71&gt;60,#REF!*60*K70,K69*K71*K70)</f>
        <v>0</v>
      </c>
      <c r="L72" t="s">
        <v>57</v>
      </c>
    </row>
    <row r="73" spans="2:12" ht="16.5" thickTop="1" thickBot="1" x14ac:dyDescent="0.3">
      <c r="C73" t="s">
        <v>62</v>
      </c>
      <c r="F73" s="2"/>
      <c r="G73" s="2"/>
      <c r="H73" s="78"/>
      <c r="K73" s="79">
        <f>K69+K72</f>
        <v>614.14</v>
      </c>
      <c r="L73" t="s">
        <v>77</v>
      </c>
    </row>
    <row r="74" spans="2:12" ht="16.5" thickTop="1" thickBot="1" x14ac:dyDescent="0.3">
      <c r="B74" s="2"/>
      <c r="F74" s="2"/>
      <c r="G74" s="2"/>
      <c r="H74" s="2"/>
    </row>
    <row r="75" spans="2:12" ht="16.5" thickTop="1" thickBot="1" x14ac:dyDescent="0.3">
      <c r="B75" s="2"/>
      <c r="F75" s="2"/>
      <c r="G75" s="2"/>
      <c r="H75" s="2"/>
      <c r="K75" s="95">
        <f>K73*12</f>
        <v>7369.68</v>
      </c>
      <c r="L75" t="s">
        <v>91</v>
      </c>
    </row>
    <row r="76" spans="2:12" ht="15.75" thickTop="1" x14ac:dyDescent="0.25">
      <c r="B76" s="2"/>
      <c r="F76" s="2"/>
      <c r="G76" s="2"/>
      <c r="H76" s="2"/>
    </row>
    <row r="77" spans="2:12" x14ac:dyDescent="0.25">
      <c r="B77" s="2"/>
      <c r="F77" s="2"/>
      <c r="G77" s="2"/>
      <c r="H77" s="2"/>
    </row>
    <row r="78" spans="2:12" x14ac:dyDescent="0.25">
      <c r="B78" s="2"/>
    </row>
    <row r="79" spans="2:12" x14ac:dyDescent="0.25">
      <c r="B79" s="2"/>
    </row>
    <row r="80" spans="2:12" x14ac:dyDescent="0.25">
      <c r="B80" s="2"/>
    </row>
    <row r="81" spans="2:8" x14ac:dyDescent="0.25">
      <c r="B81" s="2"/>
    </row>
    <row r="84" spans="2:8" x14ac:dyDescent="0.25">
      <c r="H84" s="76"/>
    </row>
    <row r="86" spans="2:8" x14ac:dyDescent="0.25">
      <c r="H86" s="77"/>
    </row>
    <row r="87" spans="2:8" x14ac:dyDescent="0.25">
      <c r="H87" s="77"/>
    </row>
    <row r="93" spans="2:8" x14ac:dyDescent="0.25">
      <c r="B93" s="5"/>
    </row>
  </sheetData>
  <dataValidations count="1">
    <dataValidation type="whole" allowBlank="1" showInputMessage="1" showErrorMessage="1" sqref="K30 K33" xr:uid="{02DB7677-377C-46A5-B20B-779972755ED0}">
      <formula1>0</formula1>
      <formula2>60</formula2>
    </dataValidation>
  </dataValidations>
  <pageMargins left="0.7" right="0.7" top="0.75" bottom="0.75" header="0.3" footer="0.3"/>
  <pageSetup orientation="portrait" r:id="rId1"/>
  <ignoredErrors>
    <ignoredError sqref="I10:I65" calculatedColumn="1"/>
  </ignoredError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tabColor rgb="FFFFFF00"/>
  </sheetPr>
  <dimension ref="A1:T28"/>
  <sheetViews>
    <sheetView zoomScale="115" zoomScaleNormal="115" workbookViewId="0">
      <selection activeCell="L29" sqref="L29"/>
    </sheetView>
  </sheetViews>
  <sheetFormatPr baseColWidth="10" defaultRowHeight="15" x14ac:dyDescent="0.25"/>
  <cols>
    <col min="5" max="5" width="12.28515625" bestFit="1" customWidth="1"/>
    <col min="185" max="185" width="10.5703125" bestFit="1" customWidth="1"/>
    <col min="186" max="186" width="12.28515625" bestFit="1" customWidth="1"/>
    <col min="187" max="191" width="12.5703125" bestFit="1" customWidth="1"/>
  </cols>
  <sheetData>
    <row r="1" spans="1:20" x14ac:dyDescent="0.25">
      <c r="A1" s="50" t="s">
        <v>96</v>
      </c>
    </row>
    <row r="2" spans="1:20" ht="15.75" thickBot="1" x14ac:dyDescent="0.3">
      <c r="C2" s="9" t="s">
        <v>2</v>
      </c>
    </row>
    <row r="3" spans="1:20" ht="16.5" thickTop="1" thickBot="1" x14ac:dyDescent="0.3">
      <c r="B3" s="32"/>
      <c r="C3" s="31">
        <v>40543</v>
      </c>
      <c r="D3" s="15">
        <v>40695</v>
      </c>
      <c r="E3" s="15">
        <v>41061</v>
      </c>
      <c r="F3" s="15">
        <v>41426</v>
      </c>
      <c r="G3" s="15">
        <v>41791</v>
      </c>
      <c r="H3" s="15">
        <v>42094</v>
      </c>
      <c r="I3" s="15">
        <v>42461</v>
      </c>
      <c r="J3" s="15">
        <v>42826</v>
      </c>
      <c r="K3" s="15">
        <v>43191</v>
      </c>
      <c r="L3" s="15">
        <v>43557</v>
      </c>
      <c r="M3" s="15">
        <v>43922</v>
      </c>
      <c r="N3" s="15">
        <v>44287</v>
      </c>
      <c r="O3" s="15">
        <v>44652</v>
      </c>
      <c r="P3" s="15">
        <v>45017</v>
      </c>
      <c r="Q3" s="16">
        <v>45383</v>
      </c>
    </row>
    <row r="4" spans="1:20" ht="16.5" thickTop="1" thickBot="1" x14ac:dyDescent="0.3">
      <c r="B4" s="30" t="s">
        <v>3</v>
      </c>
      <c r="C4" s="26">
        <v>2</v>
      </c>
      <c r="D4" s="26">
        <v>3</v>
      </c>
      <c r="E4" s="26">
        <v>4</v>
      </c>
      <c r="F4" s="26">
        <v>5</v>
      </c>
      <c r="G4" s="26">
        <v>6</v>
      </c>
      <c r="H4" s="26">
        <v>7</v>
      </c>
      <c r="I4" s="26">
        <v>8</v>
      </c>
      <c r="J4" s="26">
        <v>9</v>
      </c>
      <c r="K4" s="26">
        <v>10</v>
      </c>
      <c r="L4" s="26">
        <v>11</v>
      </c>
      <c r="M4" s="26">
        <v>12</v>
      </c>
      <c r="N4" s="26">
        <v>13</v>
      </c>
      <c r="O4" s="26">
        <v>14</v>
      </c>
      <c r="P4" s="26">
        <v>15</v>
      </c>
      <c r="Q4" s="27">
        <v>16</v>
      </c>
      <c r="S4" s="28"/>
      <c r="T4" t="s">
        <v>125</v>
      </c>
    </row>
    <row r="5" spans="1:20" ht="16.5" thickTop="1" thickBot="1" x14ac:dyDescent="0.3">
      <c r="B5" s="22">
        <v>1</v>
      </c>
      <c r="C5" s="23">
        <v>36654</v>
      </c>
      <c r="D5" s="23">
        <v>36929</v>
      </c>
      <c r="E5" s="23">
        <v>37483</v>
      </c>
      <c r="F5" s="23">
        <v>38139</v>
      </c>
      <c r="G5" s="23">
        <v>38902</v>
      </c>
      <c r="H5" s="23">
        <v>39291</v>
      </c>
      <c r="I5" s="23">
        <v>39880</v>
      </c>
      <c r="J5" s="23">
        <v>40578</v>
      </c>
      <c r="K5" s="23">
        <v>41390</v>
      </c>
      <c r="L5" s="23">
        <v>42431</v>
      </c>
      <c r="M5" s="23">
        <v>42431</v>
      </c>
      <c r="N5" s="23">
        <v>42431</v>
      </c>
      <c r="O5" s="23">
        <v>42431</v>
      </c>
      <c r="P5" s="23">
        <v>42431</v>
      </c>
      <c r="Q5" s="24">
        <v>42431</v>
      </c>
    </row>
    <row r="6" spans="1:20" ht="16.5" thickTop="1" thickBot="1" x14ac:dyDescent="0.3">
      <c r="B6" s="6">
        <v>2</v>
      </c>
      <c r="C6" s="11">
        <v>38212</v>
      </c>
      <c r="D6" s="11">
        <v>38499</v>
      </c>
      <c r="E6" s="11">
        <v>39076</v>
      </c>
      <c r="F6" s="11">
        <v>39760</v>
      </c>
      <c r="G6" s="11">
        <v>40555</v>
      </c>
      <c r="H6" s="11">
        <v>40961</v>
      </c>
      <c r="I6" s="11">
        <v>41575</v>
      </c>
      <c r="J6" s="11">
        <v>42303</v>
      </c>
      <c r="K6" s="11">
        <v>43149</v>
      </c>
      <c r="L6" s="11">
        <v>44237</v>
      </c>
      <c r="M6" s="11">
        <v>44237</v>
      </c>
      <c r="N6" s="11">
        <v>44237</v>
      </c>
      <c r="O6" s="11">
        <v>44237</v>
      </c>
      <c r="P6" s="11">
        <v>44237</v>
      </c>
      <c r="Q6" s="12">
        <v>44237</v>
      </c>
      <c r="S6" s="29"/>
      <c r="T6" t="s">
        <v>4</v>
      </c>
    </row>
    <row r="7" spans="1:20" ht="15.75" thickTop="1" x14ac:dyDescent="0.25">
      <c r="B7" s="6">
        <v>3</v>
      </c>
      <c r="C7" s="11">
        <v>39837</v>
      </c>
      <c r="D7" s="11">
        <v>40136</v>
      </c>
      <c r="E7" s="11">
        <v>40738</v>
      </c>
      <c r="F7" s="11">
        <v>41451</v>
      </c>
      <c r="G7" s="11">
        <v>42280</v>
      </c>
      <c r="H7" s="11">
        <v>42703</v>
      </c>
      <c r="I7" s="11">
        <v>43344</v>
      </c>
      <c r="J7" s="11">
        <v>44103</v>
      </c>
      <c r="K7" s="11">
        <v>44985</v>
      </c>
      <c r="L7" s="11">
        <v>46117</v>
      </c>
      <c r="M7" s="11">
        <v>46117</v>
      </c>
      <c r="N7" s="11">
        <v>46117</v>
      </c>
      <c r="O7" s="11">
        <v>46117</v>
      </c>
      <c r="P7" s="11">
        <v>46117</v>
      </c>
      <c r="Q7" s="12">
        <v>46117</v>
      </c>
    </row>
    <row r="8" spans="1:20" x14ac:dyDescent="0.25">
      <c r="B8" s="6">
        <v>4</v>
      </c>
      <c r="C8" s="11">
        <v>41530</v>
      </c>
      <c r="D8" s="11">
        <v>41841</v>
      </c>
      <c r="E8" s="11">
        <v>42469</v>
      </c>
      <c r="F8" s="11">
        <v>43212</v>
      </c>
      <c r="G8" s="11">
        <v>44076</v>
      </c>
      <c r="H8" s="11">
        <v>44517</v>
      </c>
      <c r="I8" s="11">
        <v>45185</v>
      </c>
      <c r="J8" s="11">
        <v>45976</v>
      </c>
      <c r="K8" s="11">
        <v>46896</v>
      </c>
      <c r="L8" s="11">
        <v>48078</v>
      </c>
      <c r="M8" s="11">
        <v>48078</v>
      </c>
      <c r="N8" s="11">
        <v>48078</v>
      </c>
      <c r="O8" s="11">
        <v>48078</v>
      </c>
      <c r="P8" s="11">
        <v>48078</v>
      </c>
      <c r="Q8" s="12">
        <v>48078</v>
      </c>
    </row>
    <row r="9" spans="1:20" x14ac:dyDescent="0.25">
      <c r="B9" s="6">
        <v>5</v>
      </c>
      <c r="C9" s="11">
        <v>43296</v>
      </c>
      <c r="D9" s="11">
        <v>43621</v>
      </c>
      <c r="E9" s="11">
        <v>44275</v>
      </c>
      <c r="F9" s="11">
        <v>45050</v>
      </c>
      <c r="G9" s="11">
        <v>45951</v>
      </c>
      <c r="H9" s="11">
        <v>46411</v>
      </c>
      <c r="I9" s="11">
        <v>47107</v>
      </c>
      <c r="J9" s="11">
        <v>47931</v>
      </c>
      <c r="K9" s="11">
        <v>48890</v>
      </c>
      <c r="L9" s="11">
        <v>50120</v>
      </c>
      <c r="M9" s="11">
        <v>50120</v>
      </c>
      <c r="N9" s="11">
        <v>50120</v>
      </c>
      <c r="O9" s="11">
        <v>50120</v>
      </c>
      <c r="P9" s="11">
        <v>50120</v>
      </c>
      <c r="Q9" s="12">
        <v>50120</v>
      </c>
    </row>
    <row r="10" spans="1:20" x14ac:dyDescent="0.25">
      <c r="B10" s="6">
        <v>6</v>
      </c>
      <c r="C10" s="11">
        <v>45136</v>
      </c>
      <c r="D10" s="11">
        <v>45475</v>
      </c>
      <c r="E10" s="11">
        <v>46157</v>
      </c>
      <c r="F10" s="11">
        <v>46965</v>
      </c>
      <c r="G10" s="11">
        <v>47904</v>
      </c>
      <c r="H10" s="11">
        <v>48383</v>
      </c>
      <c r="I10" s="11">
        <v>49109</v>
      </c>
      <c r="J10" s="11">
        <v>49968</v>
      </c>
      <c r="K10" s="11">
        <v>50967</v>
      </c>
      <c r="L10" s="11">
        <v>52251</v>
      </c>
      <c r="M10" s="11">
        <v>52251</v>
      </c>
      <c r="N10" s="11">
        <v>52251</v>
      </c>
      <c r="O10" s="11">
        <v>52251</v>
      </c>
      <c r="P10" s="11">
        <v>52251</v>
      </c>
      <c r="Q10" s="12">
        <v>52251</v>
      </c>
    </row>
    <row r="11" spans="1:20" x14ac:dyDescent="0.25">
      <c r="B11" s="6">
        <v>7</v>
      </c>
      <c r="C11" s="11">
        <v>47055</v>
      </c>
      <c r="D11" s="11">
        <v>47408</v>
      </c>
      <c r="E11" s="11">
        <v>48119</v>
      </c>
      <c r="F11" s="11">
        <v>48961</v>
      </c>
      <c r="G11" s="11">
        <v>49940</v>
      </c>
      <c r="H11" s="11">
        <v>50439</v>
      </c>
      <c r="I11" s="11">
        <v>51196</v>
      </c>
      <c r="J11" s="11">
        <v>52092</v>
      </c>
      <c r="K11" s="11">
        <v>53134</v>
      </c>
      <c r="L11" s="11">
        <v>54471</v>
      </c>
      <c r="M11" s="11">
        <v>54471</v>
      </c>
      <c r="N11" s="11">
        <v>54471</v>
      </c>
      <c r="O11" s="11">
        <v>54471</v>
      </c>
      <c r="P11" s="11">
        <v>54471</v>
      </c>
      <c r="Q11" s="12">
        <v>54471</v>
      </c>
    </row>
    <row r="12" spans="1:20" x14ac:dyDescent="0.25">
      <c r="B12" s="6">
        <v>8</v>
      </c>
      <c r="C12" s="11">
        <v>49056</v>
      </c>
      <c r="D12" s="11">
        <v>49424</v>
      </c>
      <c r="E12" s="11">
        <v>50165</v>
      </c>
      <c r="F12" s="11">
        <v>51043</v>
      </c>
      <c r="G12" s="11">
        <v>52064</v>
      </c>
      <c r="H12" s="11">
        <v>52585</v>
      </c>
      <c r="I12" s="11">
        <v>53374</v>
      </c>
      <c r="J12" s="11">
        <v>54308</v>
      </c>
      <c r="K12" s="11">
        <v>55394</v>
      </c>
      <c r="L12" s="11">
        <v>56787</v>
      </c>
      <c r="M12" s="11">
        <v>56787</v>
      </c>
      <c r="N12" s="11">
        <v>56787</v>
      </c>
      <c r="O12" s="11">
        <v>56787</v>
      </c>
      <c r="P12" s="11">
        <v>56787</v>
      </c>
      <c r="Q12" s="12">
        <v>56787</v>
      </c>
    </row>
    <row r="13" spans="1:20" x14ac:dyDescent="0.25">
      <c r="B13" s="6">
        <v>9</v>
      </c>
      <c r="C13" s="11">
        <v>51141</v>
      </c>
      <c r="D13" s="11">
        <v>51525</v>
      </c>
      <c r="E13" s="11">
        <v>52298</v>
      </c>
      <c r="F13" s="11">
        <v>53213</v>
      </c>
      <c r="G13" s="11">
        <v>54277</v>
      </c>
      <c r="H13" s="11">
        <v>54820</v>
      </c>
      <c r="I13" s="11">
        <v>55642</v>
      </c>
      <c r="J13" s="11">
        <v>56616</v>
      </c>
      <c r="K13" s="11">
        <v>57748</v>
      </c>
      <c r="L13" s="11">
        <v>59199</v>
      </c>
      <c r="M13" s="11">
        <v>59199</v>
      </c>
      <c r="N13" s="11">
        <v>59199</v>
      </c>
      <c r="O13" s="11">
        <v>59199</v>
      </c>
      <c r="P13" s="11">
        <v>59199</v>
      </c>
      <c r="Q13" s="12">
        <v>59199</v>
      </c>
    </row>
    <row r="14" spans="1:20" x14ac:dyDescent="0.25">
      <c r="B14" s="6">
        <v>10</v>
      </c>
      <c r="C14" s="11">
        <v>53315</v>
      </c>
      <c r="D14" s="11">
        <v>53715</v>
      </c>
      <c r="E14" s="11">
        <v>54521</v>
      </c>
      <c r="F14" s="11">
        <v>55475</v>
      </c>
      <c r="G14" s="11">
        <v>56585</v>
      </c>
      <c r="H14" s="11">
        <v>57151</v>
      </c>
      <c r="I14" s="11">
        <v>58008</v>
      </c>
      <c r="J14" s="11">
        <v>59023</v>
      </c>
      <c r="K14" s="11">
        <v>60203</v>
      </c>
      <c r="L14" s="11">
        <v>61716</v>
      </c>
      <c r="M14" s="11">
        <v>61716</v>
      </c>
      <c r="N14" s="11">
        <v>61716</v>
      </c>
      <c r="O14" s="11">
        <v>61716</v>
      </c>
      <c r="P14" s="11">
        <v>61716</v>
      </c>
      <c r="Q14" s="12">
        <v>61716</v>
      </c>
    </row>
    <row r="15" spans="1:20" x14ac:dyDescent="0.25">
      <c r="B15" s="6">
        <v>11</v>
      </c>
      <c r="C15" s="11">
        <v>55582</v>
      </c>
      <c r="D15" s="11">
        <v>55999</v>
      </c>
      <c r="E15" s="11">
        <v>56839</v>
      </c>
      <c r="F15" s="11">
        <v>57834</v>
      </c>
      <c r="G15" s="11">
        <v>58991</v>
      </c>
      <c r="H15" s="11">
        <v>59581</v>
      </c>
      <c r="I15" s="11">
        <v>60475</v>
      </c>
      <c r="J15" s="11">
        <v>61533</v>
      </c>
      <c r="K15" s="11">
        <v>62764</v>
      </c>
      <c r="L15" s="11">
        <v>64757</v>
      </c>
      <c r="M15" s="11">
        <v>64757</v>
      </c>
      <c r="N15" s="11">
        <v>64757</v>
      </c>
      <c r="O15" s="11">
        <v>64757</v>
      </c>
      <c r="P15" s="11">
        <v>64757</v>
      </c>
      <c r="Q15" s="12">
        <v>64757</v>
      </c>
    </row>
    <row r="16" spans="1:20" x14ac:dyDescent="0.25">
      <c r="B16" s="6">
        <v>12</v>
      </c>
      <c r="C16" s="11">
        <v>57945</v>
      </c>
      <c r="D16" s="11">
        <v>58380</v>
      </c>
      <c r="E16" s="11">
        <v>59256</v>
      </c>
      <c r="F16" s="11">
        <v>60293</v>
      </c>
      <c r="G16" s="11">
        <v>61499</v>
      </c>
      <c r="H16" s="11">
        <v>62114</v>
      </c>
      <c r="I16" s="11">
        <v>63046</v>
      </c>
      <c r="J16" s="11">
        <v>64149</v>
      </c>
      <c r="K16" s="11">
        <v>65432</v>
      </c>
      <c r="L16" s="11">
        <v>67988</v>
      </c>
      <c r="M16" s="11">
        <v>67988</v>
      </c>
      <c r="N16" s="11">
        <v>67988</v>
      </c>
      <c r="O16" s="11">
        <v>67988</v>
      </c>
      <c r="P16" s="11">
        <v>67988</v>
      </c>
      <c r="Q16" s="12">
        <v>67988</v>
      </c>
    </row>
    <row r="17" spans="2:17" x14ac:dyDescent="0.25">
      <c r="B17" s="6">
        <v>13</v>
      </c>
      <c r="C17" s="11">
        <v>60408</v>
      </c>
      <c r="D17" s="11">
        <v>60861</v>
      </c>
      <c r="E17" s="11">
        <v>61774</v>
      </c>
      <c r="F17" s="11">
        <v>62855</v>
      </c>
      <c r="G17" s="11">
        <v>64112</v>
      </c>
      <c r="H17" s="11">
        <v>64753</v>
      </c>
      <c r="I17" s="11">
        <v>65724</v>
      </c>
      <c r="J17" s="11">
        <v>66874</v>
      </c>
      <c r="K17" s="11">
        <v>68211</v>
      </c>
      <c r="L17" s="11">
        <v>71376</v>
      </c>
      <c r="M17" s="11">
        <v>71376</v>
      </c>
      <c r="N17" s="11">
        <v>71376</v>
      </c>
      <c r="O17" s="11">
        <v>71376</v>
      </c>
      <c r="P17" s="11">
        <v>71376</v>
      </c>
      <c r="Q17" s="12">
        <v>71376</v>
      </c>
    </row>
    <row r="18" spans="2:17" x14ac:dyDescent="0.25">
      <c r="B18" s="6">
        <v>14</v>
      </c>
      <c r="C18" s="11">
        <v>62976</v>
      </c>
      <c r="D18" s="11">
        <v>63448</v>
      </c>
      <c r="E18" s="11">
        <v>64400</v>
      </c>
      <c r="F18" s="11">
        <v>65527</v>
      </c>
      <c r="G18" s="11">
        <v>66838</v>
      </c>
      <c r="H18" s="11">
        <v>67506</v>
      </c>
      <c r="I18" s="11">
        <v>68519</v>
      </c>
      <c r="J18" s="11">
        <v>69718</v>
      </c>
      <c r="K18" s="11">
        <v>71112</v>
      </c>
      <c r="L18" s="11">
        <v>74935</v>
      </c>
      <c r="M18" s="11">
        <v>74935</v>
      </c>
      <c r="N18" s="11">
        <v>74935</v>
      </c>
      <c r="O18" s="11">
        <v>74935</v>
      </c>
      <c r="P18" s="11">
        <v>74935</v>
      </c>
      <c r="Q18" s="12">
        <v>74935</v>
      </c>
    </row>
    <row r="19" spans="2:17" x14ac:dyDescent="0.25">
      <c r="B19" s="6">
        <v>15</v>
      </c>
      <c r="C19" s="11">
        <v>65653</v>
      </c>
      <c r="D19" s="11">
        <v>66145</v>
      </c>
      <c r="E19" s="11">
        <v>67137</v>
      </c>
      <c r="F19" s="11">
        <v>68312</v>
      </c>
      <c r="G19" s="11">
        <v>69678</v>
      </c>
      <c r="H19" s="11">
        <v>70375</v>
      </c>
      <c r="I19" s="11">
        <v>71431</v>
      </c>
      <c r="J19" s="11">
        <v>72681</v>
      </c>
      <c r="K19" s="11">
        <v>74135</v>
      </c>
      <c r="L19" s="11">
        <v>78665</v>
      </c>
      <c r="M19" s="11">
        <v>78665</v>
      </c>
      <c r="N19" s="11">
        <v>78665</v>
      </c>
      <c r="O19" s="11">
        <v>78665</v>
      </c>
      <c r="P19" s="11">
        <v>78665</v>
      </c>
      <c r="Q19" s="12">
        <v>78665</v>
      </c>
    </row>
    <row r="20" spans="2:17" x14ac:dyDescent="0.25">
      <c r="B20" s="6">
        <v>16</v>
      </c>
      <c r="C20" s="11">
        <v>68444</v>
      </c>
      <c r="D20" s="11">
        <v>68957</v>
      </c>
      <c r="E20" s="11">
        <v>69991</v>
      </c>
      <c r="F20" s="11">
        <v>71216</v>
      </c>
      <c r="G20" s="11">
        <v>72640</v>
      </c>
      <c r="H20" s="11">
        <v>73366</v>
      </c>
      <c r="I20" s="11">
        <v>74466</v>
      </c>
      <c r="J20" s="11">
        <v>75769</v>
      </c>
      <c r="K20" s="11">
        <v>77284</v>
      </c>
      <c r="L20" s="11">
        <v>82591</v>
      </c>
      <c r="M20" s="11">
        <v>82591</v>
      </c>
      <c r="N20" s="11">
        <v>82591</v>
      </c>
      <c r="O20" s="11">
        <v>82591</v>
      </c>
      <c r="P20" s="11">
        <v>82591</v>
      </c>
      <c r="Q20" s="12">
        <v>82591</v>
      </c>
    </row>
    <row r="21" spans="2:17" x14ac:dyDescent="0.25">
      <c r="B21" s="6">
        <v>17</v>
      </c>
      <c r="C21" s="11">
        <v>71354</v>
      </c>
      <c r="D21" s="11">
        <v>71889</v>
      </c>
      <c r="E21" s="11">
        <v>72967</v>
      </c>
      <c r="F21" s="11">
        <v>74244</v>
      </c>
      <c r="G21" s="11">
        <v>75729</v>
      </c>
      <c r="H21" s="11">
        <v>76486</v>
      </c>
      <c r="I21" s="11">
        <v>77633</v>
      </c>
      <c r="J21" s="11">
        <v>78992</v>
      </c>
      <c r="K21" s="11">
        <v>80572</v>
      </c>
      <c r="L21" s="11">
        <v>86713</v>
      </c>
      <c r="M21" s="11">
        <v>86713</v>
      </c>
      <c r="N21" s="11">
        <v>86713</v>
      </c>
      <c r="O21" s="11">
        <v>86713</v>
      </c>
      <c r="P21" s="11">
        <v>86713</v>
      </c>
      <c r="Q21" s="12">
        <v>86713</v>
      </c>
    </row>
    <row r="22" spans="2:17" x14ac:dyDescent="0.25">
      <c r="B22" s="6">
        <v>18</v>
      </c>
      <c r="C22" s="11">
        <v>72514</v>
      </c>
      <c r="D22" s="11">
        <v>73058</v>
      </c>
      <c r="E22" s="11">
        <v>74154</v>
      </c>
      <c r="F22" s="11">
        <v>75452</v>
      </c>
      <c r="G22" s="11">
        <v>76961</v>
      </c>
      <c r="H22" s="11">
        <v>77731</v>
      </c>
      <c r="I22" s="11">
        <v>78897</v>
      </c>
      <c r="J22" s="11">
        <v>80278</v>
      </c>
      <c r="K22" s="11">
        <v>81884</v>
      </c>
      <c r="L22" s="11">
        <v>88126</v>
      </c>
      <c r="M22" s="11">
        <v>88126</v>
      </c>
      <c r="N22" s="11">
        <v>88126</v>
      </c>
      <c r="O22" s="11">
        <v>88126</v>
      </c>
      <c r="P22" s="11">
        <v>88126</v>
      </c>
      <c r="Q22" s="12">
        <v>88126</v>
      </c>
    </row>
    <row r="23" spans="2:17" x14ac:dyDescent="0.25">
      <c r="B23" s="6">
        <v>19</v>
      </c>
      <c r="C23" s="11">
        <v>73693</v>
      </c>
      <c r="D23" s="11">
        <v>74246</v>
      </c>
      <c r="E23" s="11">
        <v>75360</v>
      </c>
      <c r="F23" s="11">
        <v>76679</v>
      </c>
      <c r="G23" s="11">
        <v>78213</v>
      </c>
      <c r="H23" s="11">
        <v>78995</v>
      </c>
      <c r="I23" s="11">
        <v>80180</v>
      </c>
      <c r="J23" s="11">
        <v>81583</v>
      </c>
      <c r="K23" s="11">
        <v>83215</v>
      </c>
      <c r="L23" s="11">
        <v>89563</v>
      </c>
      <c r="M23" s="11">
        <v>89563</v>
      </c>
      <c r="N23" s="11">
        <v>89563</v>
      </c>
      <c r="O23" s="11">
        <v>89563</v>
      </c>
      <c r="P23" s="11">
        <v>89563</v>
      </c>
      <c r="Q23" s="12">
        <v>89563</v>
      </c>
    </row>
    <row r="24" spans="2:17" ht="15.75" thickBot="1" x14ac:dyDescent="0.3">
      <c r="B24" s="7">
        <v>20</v>
      </c>
      <c r="C24" s="13">
        <v>74891</v>
      </c>
      <c r="D24" s="13">
        <v>75453</v>
      </c>
      <c r="E24" s="13">
        <v>76585</v>
      </c>
      <c r="F24" s="13">
        <v>77925</v>
      </c>
      <c r="G24" s="13">
        <v>79484</v>
      </c>
      <c r="H24" s="13">
        <v>80279</v>
      </c>
      <c r="I24" s="13">
        <v>81483</v>
      </c>
      <c r="J24" s="13">
        <v>82909</v>
      </c>
      <c r="K24" s="13">
        <v>84567</v>
      </c>
      <c r="L24" s="13">
        <v>91023</v>
      </c>
      <c r="M24" s="13">
        <v>91023</v>
      </c>
      <c r="N24" s="13">
        <v>91023</v>
      </c>
      <c r="O24" s="13">
        <v>91023</v>
      </c>
      <c r="P24" s="13">
        <v>91023</v>
      </c>
      <c r="Q24" s="14">
        <v>91023</v>
      </c>
    </row>
    <row r="25" spans="2:17" ht="15.75" thickTop="1" x14ac:dyDescent="0.25"/>
    <row r="26" spans="2:17" ht="15.75" thickBot="1" x14ac:dyDescent="0.3">
      <c r="D26" s="2" t="s">
        <v>3</v>
      </c>
      <c r="E26" s="2" t="s">
        <v>10</v>
      </c>
      <c r="F26" t="s">
        <v>8</v>
      </c>
      <c r="G26" t="s">
        <v>9</v>
      </c>
    </row>
    <row r="27" spans="2:17" ht="16.5" thickTop="1" thickBot="1" x14ac:dyDescent="0.3">
      <c r="D27" s="33">
        <f>Echelon</f>
        <v>20</v>
      </c>
      <c r="E27" s="34">
        <f>Date_retraite</f>
        <v>44401</v>
      </c>
      <c r="F27" s="39">
        <f>HLOOKUP(E27,Date_salaire_colonne,2,TRUE)</f>
        <v>13</v>
      </c>
      <c r="G27" s="35">
        <f>VLOOKUP(Echelon,Salaire_10_20,HLOOKUP(Date_retraite,Date_salaire_colonne,2,TRUE),FALSE)</f>
        <v>91023</v>
      </c>
    </row>
    <row r="28" spans="2:17" ht="15.75" thickTop="1" x14ac:dyDescent="0.25"/>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F26B5-A37F-42D5-9623-C075080CBB50}">
  <sheetPr>
    <tabColor rgb="FFFF99CC"/>
  </sheetPr>
  <dimension ref="B2:AQ162"/>
  <sheetViews>
    <sheetView showGridLines="0" showZeros="0" topLeftCell="T5" zoomScaleNormal="100" workbookViewId="0">
      <selection activeCell="U8" sqref="U8"/>
    </sheetView>
  </sheetViews>
  <sheetFormatPr baseColWidth="10" defaultColWidth="11.42578125" defaultRowHeight="15" x14ac:dyDescent="0.25"/>
  <cols>
    <col min="1" max="3" width="11.42578125" style="254"/>
    <col min="4" max="4" width="30" style="254" customWidth="1"/>
    <col min="5" max="5" width="13" style="254" bestFit="1" customWidth="1"/>
    <col min="6" max="7" width="11.42578125" style="254"/>
    <col min="8" max="8" width="18.42578125" style="254" customWidth="1"/>
    <col min="9" max="9" width="12" style="254" bestFit="1" customWidth="1"/>
    <col min="10" max="10" width="11.42578125" style="254"/>
    <col min="11" max="11" width="19.85546875" style="254" customWidth="1"/>
    <col min="12" max="12" width="16.85546875" style="254" customWidth="1"/>
    <col min="13" max="13" width="11.42578125" style="254"/>
    <col min="14" max="14" width="18.5703125" style="254" customWidth="1"/>
    <col min="15" max="15" width="14.42578125" style="254" customWidth="1"/>
    <col min="16" max="16" width="13.42578125" style="254" customWidth="1"/>
    <col min="17" max="20" width="12.5703125" style="254" customWidth="1"/>
    <col min="21" max="21" width="21.85546875" style="254" customWidth="1"/>
    <col min="22" max="22" width="12.5703125" style="254" customWidth="1"/>
    <col min="23" max="23" width="11.42578125" style="254"/>
    <col min="24" max="24" width="7.7109375" style="254" customWidth="1"/>
    <col min="25" max="25" width="11.42578125" style="254"/>
    <col min="26" max="26" width="11.5703125" style="254" customWidth="1"/>
    <col min="27" max="27" width="13.42578125" style="254" customWidth="1"/>
    <col min="28" max="28" width="12" style="254" customWidth="1"/>
    <col min="29" max="29" width="11.28515625" style="254" customWidth="1"/>
    <col min="30" max="30" width="12.140625" style="254" customWidth="1"/>
    <col min="31" max="35" width="11.42578125" style="254"/>
    <col min="36" max="36" width="41.7109375" style="254" customWidth="1"/>
    <col min="37" max="44" width="11.42578125" style="254"/>
    <col min="45" max="45" width="30.7109375" style="254" customWidth="1"/>
    <col min="46" max="16384" width="11.42578125" style="254"/>
  </cols>
  <sheetData>
    <row r="2" spans="4:41" ht="15.75" thickBot="1" x14ac:dyDescent="0.3">
      <c r="D2" s="254" t="s">
        <v>130</v>
      </c>
    </row>
    <row r="3" spans="4:41" ht="15.75" thickTop="1" x14ac:dyDescent="0.25">
      <c r="D3" s="256" t="s">
        <v>131</v>
      </c>
      <c r="E3" s="266">
        <v>86720</v>
      </c>
    </row>
    <row r="4" spans="4:41" ht="15.75" thickBot="1" x14ac:dyDescent="0.3">
      <c r="D4" s="257" t="s">
        <v>132</v>
      </c>
      <c r="E4" s="267">
        <v>61600</v>
      </c>
      <c r="L4" s="90" t="s">
        <v>162</v>
      </c>
    </row>
    <row r="5" spans="4:41" ht="16.5" thickTop="1" thickBot="1" x14ac:dyDescent="0.3">
      <c r="D5" s="257" t="s">
        <v>133</v>
      </c>
      <c r="E5" s="260">
        <f>25%*E4</f>
        <v>15400</v>
      </c>
      <c r="L5" s="471" t="s">
        <v>273</v>
      </c>
      <c r="M5" s="472"/>
      <c r="N5" s="472"/>
      <c r="O5" s="472"/>
      <c r="P5" s="473"/>
    </row>
    <row r="6" spans="4:41" ht="15.75" thickTop="1" x14ac:dyDescent="0.25">
      <c r="D6" s="257" t="s">
        <v>134</v>
      </c>
      <c r="E6" s="260">
        <f>E3-E5</f>
        <v>71320</v>
      </c>
      <c r="H6" s="155" t="s">
        <v>271</v>
      </c>
      <c r="I6" s="454">
        <f>MGA</f>
        <v>61600</v>
      </c>
      <c r="L6" s="273">
        <v>2019</v>
      </c>
      <c r="M6" s="120">
        <v>2020</v>
      </c>
      <c r="N6" s="120">
        <v>2021</v>
      </c>
      <c r="O6" s="120">
        <v>2022</v>
      </c>
      <c r="P6" s="274">
        <v>2023</v>
      </c>
    </row>
    <row r="7" spans="4:41" ht="15" customHeight="1" thickBot="1" x14ac:dyDescent="0.3">
      <c r="D7" s="257" t="s">
        <v>135</v>
      </c>
      <c r="E7" s="269">
        <v>0.1033</v>
      </c>
      <c r="H7" s="151" t="s">
        <v>158</v>
      </c>
      <c r="I7" s="270">
        <v>3500</v>
      </c>
      <c r="L7" s="275">
        <v>1.5E-3</v>
      </c>
      <c r="M7" s="276">
        <v>3.0000000000000001E-3</v>
      </c>
      <c r="N7" s="276">
        <v>5.0000000000000001E-3</v>
      </c>
      <c r="O7" s="276">
        <v>7.4999999999999997E-3</v>
      </c>
      <c r="P7" s="277">
        <v>0.01</v>
      </c>
    </row>
    <row r="8" spans="4:41" ht="15" customHeight="1" thickTop="1" thickBot="1" x14ac:dyDescent="0.3">
      <c r="D8" s="257" t="s">
        <v>136</v>
      </c>
      <c r="E8" s="260">
        <f>E7*E6</f>
        <v>7367.3559999999998</v>
      </c>
      <c r="H8" s="151" t="s">
        <v>161</v>
      </c>
      <c r="I8" s="172">
        <f>I6-I7</f>
        <v>58100</v>
      </c>
      <c r="K8" s="155" t="s">
        <v>166</v>
      </c>
      <c r="L8" s="278">
        <f>L7+$I$9</f>
        <v>5.5500000000000001E-2</v>
      </c>
      <c r="M8" s="279">
        <f>M7+$I$9</f>
        <v>5.7000000000000002E-2</v>
      </c>
      <c r="N8" s="279">
        <f>N7+$I$9</f>
        <v>5.8999999999999997E-2</v>
      </c>
      <c r="O8" s="279">
        <f>O7+$I$9</f>
        <v>6.1499999999999999E-2</v>
      </c>
      <c r="P8" s="280">
        <f>P7+$I$9</f>
        <v>6.4000000000000001E-2</v>
      </c>
      <c r="Q8" s="67"/>
      <c r="U8" s="5" t="s">
        <v>293</v>
      </c>
      <c r="X8" s="254" t="s">
        <v>276</v>
      </c>
      <c r="Y8" s="426">
        <v>1</v>
      </c>
      <c r="Z8" s="67" t="s">
        <v>277</v>
      </c>
    </row>
    <row r="9" spans="4:41" ht="15" customHeight="1" thickTop="1" thickBot="1" x14ac:dyDescent="0.3">
      <c r="D9" s="258" t="s">
        <v>137</v>
      </c>
      <c r="E9" s="268">
        <f>E8/26</f>
        <v>283.35984615384615</v>
      </c>
      <c r="H9" s="151" t="s">
        <v>163</v>
      </c>
      <c r="I9" s="271">
        <v>5.3999999999999999E-2</v>
      </c>
      <c r="K9" s="151" t="s">
        <v>167</v>
      </c>
      <c r="L9" s="281">
        <f>L7*$I$8</f>
        <v>87.15</v>
      </c>
      <c r="M9" s="282">
        <f>M7*$I$8</f>
        <v>174.3</v>
      </c>
      <c r="N9" s="282">
        <f>N7*$I$8</f>
        <v>290.5</v>
      </c>
      <c r="O9" s="282">
        <f>O7*$I$8</f>
        <v>435.75</v>
      </c>
      <c r="P9" s="283">
        <f>P7*$I$8</f>
        <v>581</v>
      </c>
      <c r="Q9" s="44"/>
    </row>
    <row r="10" spans="4:41" ht="15" customHeight="1" thickTop="1" thickBot="1" x14ac:dyDescent="0.3">
      <c r="H10" s="152" t="s">
        <v>136</v>
      </c>
      <c r="I10" s="272">
        <f>I9*$I$8</f>
        <v>3137.4</v>
      </c>
      <c r="K10" s="152" t="s">
        <v>169</v>
      </c>
      <c r="L10" s="284">
        <f>$I$10+L9</f>
        <v>3224.55</v>
      </c>
      <c r="M10" s="285">
        <f>$I$10+M9</f>
        <v>3311.7000000000003</v>
      </c>
      <c r="N10" s="285">
        <f>$I$10+N9</f>
        <v>3427.9</v>
      </c>
      <c r="O10" s="285">
        <f>$I$10+O9</f>
        <v>3573.15</v>
      </c>
      <c r="P10" s="286">
        <f>$I$10+P9</f>
        <v>3718.4</v>
      </c>
      <c r="U10" s="427">
        <v>2021</v>
      </c>
      <c r="X10" s="428" t="s">
        <v>278</v>
      </c>
      <c r="Y10" s="429" t="s">
        <v>279</v>
      </c>
      <c r="Z10" s="456" t="s">
        <v>280</v>
      </c>
      <c r="AA10" s="430" t="s">
        <v>176</v>
      </c>
      <c r="AB10" s="430" t="s">
        <v>281</v>
      </c>
      <c r="AC10" s="431" t="s">
        <v>282</v>
      </c>
      <c r="AD10" s="432" t="s">
        <v>283</v>
      </c>
    </row>
    <row r="11" spans="4:41" ht="15" customHeight="1" thickTop="1" thickBot="1" x14ac:dyDescent="0.3">
      <c r="D11" s="254" t="s">
        <v>138</v>
      </c>
      <c r="Q11" s="44"/>
      <c r="U11" s="433" t="s">
        <v>284</v>
      </c>
      <c r="V11" s="454">
        <f>MGA</f>
        <v>61600</v>
      </c>
      <c r="X11" s="434">
        <v>1</v>
      </c>
      <c r="Y11" s="435">
        <v>42431</v>
      </c>
      <c r="Z11" s="436">
        <f>Tableau1[[#This Row],[Sal_conven]]*Service</f>
        <v>42431</v>
      </c>
      <c r="AA11" s="437">
        <f>IF(Tableau1[[#This Row],[Salaire_cotisable]]&lt;_35__du_MGA,0,(Tableau1[[#This Row],[Salaire_cotisable]]-Exemption)*Taux_de_cotisation)</f>
        <v>2792.3023000000003</v>
      </c>
      <c r="AB11" s="457">
        <f>IF(Tableau1[[#This Row],[Salaire_cotisable]]&lt;_35__du_MGA,0,IF(Facteur_de_réduction*((MGA*Service)-Tableau1[[#This Row],[Salaire_cotisable]])&gt;0,Facteur_de_réduction*((MGA*Service)-Tableau1[[#This Row],[Salaire_cotisable]]),0))</f>
        <v>352.70959999999997</v>
      </c>
      <c r="AC11" s="438">
        <f>IF(Tableau1[[#This Row],[Salaire_cotisable]]&gt;_35__du_MGA,Tableau1[[#This Row],[Taux]]-Tableau1[[#This Row],[Réduction]],0)</f>
        <v>2439.5927000000001</v>
      </c>
      <c r="AD11" s="460">
        <f>Tableau1[[#This Row],[Cotisation]]/26</f>
        <v>93.830488461538465</v>
      </c>
    </row>
    <row r="12" spans="4:41" ht="15" customHeight="1" thickTop="1" thickBot="1" x14ac:dyDescent="0.3">
      <c r="D12" s="256" t="s">
        <v>139</v>
      </c>
      <c r="E12" s="263">
        <v>36.299999999999997</v>
      </c>
      <c r="H12" s="90" t="s">
        <v>170</v>
      </c>
      <c r="U12" s="439" t="s">
        <v>285</v>
      </c>
      <c r="V12" s="270">
        <f>35%*V11</f>
        <v>21560</v>
      </c>
      <c r="X12" s="440">
        <v>2</v>
      </c>
      <c r="Y12" s="441">
        <v>44237</v>
      </c>
      <c r="Z12" s="442">
        <f>Tableau1[[#This Row],[Sal_conven]]*Service</f>
        <v>44237</v>
      </c>
      <c r="AA12" s="443">
        <f>IF(Tableau1[[#This Row],[Salaire_cotisable]]&lt;_35__du_MGA,0,(Tableau1[[#This Row],[Salaire_cotisable]]-Exemption)*Taux_de_cotisation)</f>
        <v>2978.8621000000003</v>
      </c>
      <c r="AB12" s="458">
        <f>IF(Tableau1[[#This Row],[Salaire_cotisable]]&lt;_35__du_MGA,0,IF(Facteur_de_réduction*((MGA*Service)-Tableau1[[#This Row],[Salaire_cotisable]])&gt;0,Facteur_de_réduction*((MGA*Service)-Tableau1[[#This Row],[Salaire_cotisable]]),0))</f>
        <v>319.47919999999999</v>
      </c>
      <c r="AC12" s="444">
        <f>IF(Tableau1[[#This Row],[Salaire_cotisable]]&gt;_35__du_MGA,Tableau1[[#This Row],[Taux]]-Tableau1[[#This Row],[Réduction]],0)</f>
        <v>2659.3829000000005</v>
      </c>
      <c r="AD12" s="460">
        <f>Tableau1[[#This Row],[Cotisation]]/26</f>
        <v>102.28395769230771</v>
      </c>
      <c r="AJ12" s="329"/>
      <c r="AK12" s="352">
        <v>2014</v>
      </c>
      <c r="AL12" s="353">
        <v>2017</v>
      </c>
    </row>
    <row r="13" spans="4:41" ht="15" customHeight="1" thickTop="1" thickBot="1" x14ac:dyDescent="0.3">
      <c r="D13" s="257" t="s">
        <v>140</v>
      </c>
      <c r="E13" s="264">
        <v>70000</v>
      </c>
      <c r="K13" s="254" t="s">
        <v>274</v>
      </c>
      <c r="U13" s="439" t="s">
        <v>286</v>
      </c>
      <c r="V13" s="270">
        <v>15400</v>
      </c>
      <c r="X13" s="440">
        <v>3</v>
      </c>
      <c r="Y13" s="441">
        <v>46117</v>
      </c>
      <c r="Z13" s="442">
        <f>Tableau1[[#This Row],[Sal_conven]]*Service</f>
        <v>46117</v>
      </c>
      <c r="AA13" s="443">
        <f>IF(Tableau1[[#This Row],[Salaire_cotisable]]&lt;_35__du_MGA,0,(Tableau1[[#This Row],[Salaire_cotisable]]-Exemption)*Taux_de_cotisation)</f>
        <v>3173.0661</v>
      </c>
      <c r="AB13" s="458">
        <f>IF(Tableau1[[#This Row],[Salaire_cotisable]]&lt;_35__du_MGA,0,IF(Facteur_de_réduction*((MGA*Service)-Tableau1[[#This Row],[Salaire_cotisable]])&gt;0,Facteur_de_réduction*((MGA*Service)-Tableau1[[#This Row],[Salaire_cotisable]]),0))</f>
        <v>284.88720000000001</v>
      </c>
      <c r="AC13" s="444">
        <f>IF(Tableau1[[#This Row],[Salaire_cotisable]]&gt;_35__du_MGA,Tableau1[[#This Row],[Taux]]-Tableau1[[#This Row],[Réduction]],0)</f>
        <v>2888.1788999999999</v>
      </c>
      <c r="AD13" s="460">
        <f>Tableau1[[#This Row],[Cotisation]]/26</f>
        <v>111.08380384615384</v>
      </c>
      <c r="AJ13" s="358" t="s">
        <v>216</v>
      </c>
      <c r="AK13" s="359">
        <v>0.49</v>
      </c>
      <c r="AL13" s="360">
        <v>0.52</v>
      </c>
    </row>
    <row r="14" spans="4:41" ht="15" customHeight="1" thickTop="1" thickBot="1" x14ac:dyDescent="0.3">
      <c r="D14" s="258" t="s">
        <v>141</v>
      </c>
      <c r="E14" s="259">
        <f>2%*E13*E12</f>
        <v>50819.999999999993</v>
      </c>
      <c r="L14" s="289">
        <v>2024</v>
      </c>
      <c r="M14" s="290">
        <v>2025</v>
      </c>
      <c r="U14" s="439" t="s">
        <v>287</v>
      </c>
      <c r="V14" s="269">
        <v>0.1033</v>
      </c>
      <c r="X14" s="440">
        <v>4</v>
      </c>
      <c r="Y14" s="441">
        <v>48078</v>
      </c>
      <c r="Z14" s="442">
        <f>Tableau1[[#This Row],[Sal_conven]]*Service</f>
        <v>48078</v>
      </c>
      <c r="AA14" s="443">
        <f>IF(Tableau1[[#This Row],[Salaire_cotisable]]&lt;_35__du_MGA,0,(Tableau1[[#This Row],[Salaire_cotisable]]-Exemption)*Taux_de_cotisation)</f>
        <v>3375.6374000000001</v>
      </c>
      <c r="AB14" s="458">
        <f>IF(Tableau1[[#This Row],[Salaire_cotisable]]&lt;_35__du_MGA,0,IF(Facteur_de_réduction*((MGA*Service)-Tableau1[[#This Row],[Salaire_cotisable]])&gt;0,Facteur_de_réduction*((MGA*Service)-Tableau1[[#This Row],[Salaire_cotisable]]),0))</f>
        <v>248.8048</v>
      </c>
      <c r="AC14" s="444">
        <f>IF(Tableau1[[#This Row],[Salaire_cotisable]]&gt;_35__du_MGA,Tableau1[[#This Row],[Taux]]-Tableau1[[#This Row],[Réduction]],0)</f>
        <v>3126.8326000000002</v>
      </c>
      <c r="AD14" s="460">
        <f>Tableau1[[#This Row],[Cotisation]]/26</f>
        <v>120.26279230769231</v>
      </c>
      <c r="AJ14" s="343" t="s">
        <v>219</v>
      </c>
      <c r="AK14" s="365">
        <v>2.2200000000000002</v>
      </c>
      <c r="AL14" s="366">
        <v>2.2999999999999998</v>
      </c>
    </row>
    <row r="15" spans="4:41" ht="15" customHeight="1" thickTop="1" thickBot="1" x14ac:dyDescent="0.3">
      <c r="H15" s="155" t="s">
        <v>272</v>
      </c>
      <c r="I15" s="454">
        <f>MGA</f>
        <v>61600</v>
      </c>
      <c r="K15" s="155" t="s">
        <v>171</v>
      </c>
      <c r="L15" s="291">
        <v>0.04</v>
      </c>
      <c r="M15" s="292">
        <v>0.04</v>
      </c>
      <c r="U15" s="439" t="s">
        <v>288</v>
      </c>
      <c r="V15" s="445">
        <v>1.84E-2</v>
      </c>
      <c r="X15" s="440">
        <v>5</v>
      </c>
      <c r="Y15" s="441">
        <v>50120</v>
      </c>
      <c r="Z15" s="442">
        <f>Tableau1[[#This Row],[Sal_conven]]*Service</f>
        <v>50120</v>
      </c>
      <c r="AA15" s="443">
        <f>IF(Tableau1[[#This Row],[Salaire_cotisable]]&lt;_35__du_MGA,0,(Tableau1[[#This Row],[Salaire_cotisable]]-Exemption)*Taux_de_cotisation)</f>
        <v>3586.576</v>
      </c>
      <c r="AB15" s="458">
        <f>IF(Tableau1[[#This Row],[Salaire_cotisable]]&lt;_35__du_MGA,0,IF(Facteur_de_réduction*((MGA*Service)-Tableau1[[#This Row],[Salaire_cotisable]])&gt;0,Facteur_de_réduction*((MGA*Service)-Tableau1[[#This Row],[Salaire_cotisable]]),0))</f>
        <v>211.232</v>
      </c>
      <c r="AC15" s="444">
        <f>IF(Tableau1[[#This Row],[Salaire_cotisable]]&gt;_35__du_MGA,Tableau1[[#This Row],[Taux]]-Tableau1[[#This Row],[Réduction]],0)</f>
        <v>3375.3440000000001</v>
      </c>
      <c r="AD15" s="460">
        <f>Tableau1[[#This Row],[Cotisation]]/26</f>
        <v>129.82092307692307</v>
      </c>
    </row>
    <row r="16" spans="4:41" ht="15" customHeight="1" thickTop="1" thickBot="1" x14ac:dyDescent="0.3">
      <c r="D16" s="254" t="s">
        <v>142</v>
      </c>
      <c r="H16" s="287">
        <v>1.07</v>
      </c>
      <c r="I16" s="172">
        <f>H16*I15</f>
        <v>65912</v>
      </c>
      <c r="K16" s="151" t="s">
        <v>172</v>
      </c>
      <c r="L16" s="293">
        <f>I16-I15</f>
        <v>4312</v>
      </c>
      <c r="M16" s="294">
        <f>I17-I15</f>
        <v>8624</v>
      </c>
      <c r="U16" s="439" t="s">
        <v>289</v>
      </c>
      <c r="V16" s="270">
        <v>183838</v>
      </c>
      <c r="X16" s="440">
        <v>6</v>
      </c>
      <c r="Y16" s="441">
        <v>52251</v>
      </c>
      <c r="Z16" s="442">
        <f>Tableau1[[#This Row],[Sal_conven]]*Service</f>
        <v>52251</v>
      </c>
      <c r="AA16" s="443">
        <f>IF(Tableau1[[#This Row],[Salaire_cotisable]]&lt;_35__du_MGA,0,(Tableau1[[#This Row],[Salaire_cotisable]]-Exemption)*Taux_de_cotisation)</f>
        <v>3806.7083000000002</v>
      </c>
      <c r="AB16" s="458">
        <f>IF(Tableau1[[#This Row],[Salaire_cotisable]]&lt;_35__du_MGA,0,IF(Facteur_de_réduction*((MGA*Service)-Tableau1[[#This Row],[Salaire_cotisable]])&gt;0,Facteur_de_réduction*((MGA*Service)-Tableau1[[#This Row],[Salaire_cotisable]]),0))</f>
        <v>172.02160000000001</v>
      </c>
      <c r="AC16" s="444">
        <f>IF(Tableau1[[#This Row],[Salaire_cotisable]]&gt;_35__du_MGA,Tableau1[[#This Row],[Taux]]-Tableau1[[#This Row],[Réduction]],0)</f>
        <v>3634.6867000000002</v>
      </c>
      <c r="AD16" s="460">
        <f>Tableau1[[#This Row],[Cotisation]]/26</f>
        <v>139.7956423076923</v>
      </c>
      <c r="AJ16" s="476" t="s">
        <v>193</v>
      </c>
      <c r="AK16" s="478" t="s">
        <v>194</v>
      </c>
      <c r="AL16" s="478" t="s">
        <v>195</v>
      </c>
      <c r="AM16" s="478" t="s">
        <v>196</v>
      </c>
      <c r="AN16" s="478" t="s">
        <v>197</v>
      </c>
      <c r="AO16" s="474" t="s">
        <v>198</v>
      </c>
    </row>
    <row r="17" spans="4:41" ht="15" customHeight="1" thickTop="1" thickBot="1" x14ac:dyDescent="0.3">
      <c r="D17" s="256" t="s">
        <v>143</v>
      </c>
      <c r="E17" s="263">
        <v>33.6</v>
      </c>
      <c r="H17" s="288">
        <v>1.1399999999999999</v>
      </c>
      <c r="I17" s="173">
        <f>H17*I15</f>
        <v>70224</v>
      </c>
      <c r="K17" s="151" t="s">
        <v>173</v>
      </c>
      <c r="L17" s="281">
        <f>L15*L16</f>
        <v>172.48</v>
      </c>
      <c r="M17" s="283">
        <f>M15*M16</f>
        <v>344.96</v>
      </c>
      <c r="U17" s="446" t="s">
        <v>290</v>
      </c>
      <c r="V17" s="447">
        <v>7.7299999999999994E-2</v>
      </c>
      <c r="X17" s="440">
        <v>7</v>
      </c>
      <c r="Y17" s="441">
        <v>54471</v>
      </c>
      <c r="Z17" s="442">
        <f>Tableau1[[#This Row],[Sal_conven]]*Service</f>
        <v>54471</v>
      </c>
      <c r="AA17" s="443">
        <f>IF(Tableau1[[#This Row],[Salaire_cotisable]]&lt;_35__du_MGA,0,(Tableau1[[#This Row],[Salaire_cotisable]]-Exemption)*Taux_de_cotisation)</f>
        <v>4036.0343000000003</v>
      </c>
      <c r="AB17" s="458">
        <f>IF(Tableau1[[#This Row],[Salaire_cotisable]]&lt;_35__du_MGA,0,IF(Facteur_de_réduction*((MGA*Service)-Tableau1[[#This Row],[Salaire_cotisable]])&gt;0,Facteur_de_réduction*((MGA*Service)-Tableau1[[#This Row],[Salaire_cotisable]]),0))</f>
        <v>131.17359999999999</v>
      </c>
      <c r="AC17" s="444">
        <f>IF(Tableau1[[#This Row],[Salaire_cotisable]]&gt;_35__du_MGA,Tableau1[[#This Row],[Taux]]-Tableau1[[#This Row],[Réduction]],0)</f>
        <v>3904.8607000000002</v>
      </c>
      <c r="AD17" s="460">
        <f>Tableau1[[#This Row],[Cotisation]]/26</f>
        <v>150.18695</v>
      </c>
      <c r="AJ17" s="477"/>
      <c r="AK17" s="479"/>
      <c r="AL17" s="479"/>
      <c r="AM17" s="479"/>
      <c r="AN17" s="479"/>
      <c r="AO17" s="475"/>
    </row>
    <row r="18" spans="4:41" ht="15" customHeight="1" thickTop="1" thickBot="1" x14ac:dyDescent="0.3">
      <c r="D18" s="257" t="s">
        <v>6</v>
      </c>
      <c r="E18" s="264">
        <v>70000</v>
      </c>
      <c r="K18" s="152" t="s">
        <v>136</v>
      </c>
      <c r="L18" s="284">
        <f>L17+O10</f>
        <v>3745.63</v>
      </c>
      <c r="M18" s="286">
        <f>P10+M17</f>
        <v>4063.36</v>
      </c>
      <c r="X18" s="440">
        <v>8</v>
      </c>
      <c r="Y18" s="441">
        <v>56787</v>
      </c>
      <c r="Z18" s="442">
        <f>Tableau1[[#This Row],[Sal_conven]]*Service</f>
        <v>56787</v>
      </c>
      <c r="AA18" s="443">
        <f>IF(Tableau1[[#This Row],[Salaire_cotisable]]&lt;_35__du_MGA,0,(Tableau1[[#This Row],[Salaire_cotisable]]-Exemption)*Taux_de_cotisation)</f>
        <v>4275.2771000000002</v>
      </c>
      <c r="AB18" s="458">
        <f>IF(Tableau1[[#This Row],[Salaire_cotisable]]&lt;_35__du_MGA,0,IF(Facteur_de_réduction*((MGA*Service)-Tableau1[[#This Row],[Salaire_cotisable]])&gt;0,Facteur_de_réduction*((MGA*Service)-Tableau1[[#This Row],[Salaire_cotisable]]),0))</f>
        <v>88.559200000000004</v>
      </c>
      <c r="AC18" s="444">
        <f>IF(Tableau1[[#This Row],[Salaire_cotisable]]&gt;_35__du_MGA,Tableau1[[#This Row],[Taux]]-Tableau1[[#This Row],[Réduction]],0)</f>
        <v>4186.7179000000006</v>
      </c>
      <c r="AD18" s="460">
        <f>Tableau1[[#This Row],[Cotisation]]/26</f>
        <v>161.02761153846157</v>
      </c>
      <c r="AJ18" s="330" t="s">
        <v>199</v>
      </c>
      <c r="AK18" s="331">
        <v>538778</v>
      </c>
      <c r="AL18" s="332">
        <v>518709</v>
      </c>
      <c r="AM18" s="332">
        <v>270920</v>
      </c>
      <c r="AN18" s="332">
        <v>18435</v>
      </c>
      <c r="AO18" s="333">
        <v>1346842</v>
      </c>
    </row>
    <row r="19" spans="4:41" ht="15" customHeight="1" thickTop="1" thickBot="1" x14ac:dyDescent="0.3">
      <c r="D19" s="258" t="s">
        <v>144</v>
      </c>
      <c r="E19" s="259">
        <f>2%*E18*E17</f>
        <v>47040</v>
      </c>
      <c r="X19" s="440">
        <v>9</v>
      </c>
      <c r="Y19" s="441">
        <v>59199</v>
      </c>
      <c r="Z19" s="442">
        <f>Tableau1[[#This Row],[Sal_conven]]*Service</f>
        <v>59199</v>
      </c>
      <c r="AA19" s="443">
        <f>IF(Tableau1[[#This Row],[Salaire_cotisable]]&lt;_35__du_MGA,0,(Tableau1[[#This Row],[Salaire_cotisable]]-Exemption)*Taux_de_cotisation)</f>
        <v>4524.4367000000002</v>
      </c>
      <c r="AB19" s="458">
        <f>IF(Tableau1[[#This Row],[Salaire_cotisable]]&lt;_35__du_MGA,0,IF(Facteur_de_réduction*((MGA*Service)-Tableau1[[#This Row],[Salaire_cotisable]])&gt;0,Facteur_de_réduction*((MGA*Service)-Tableau1[[#This Row],[Salaire_cotisable]]),0))</f>
        <v>44.178399999999996</v>
      </c>
      <c r="AC19" s="444">
        <f>IF(Tableau1[[#This Row],[Salaire_cotisable]]&gt;_35__du_MGA,Tableau1[[#This Row],[Taux]]-Tableau1[[#This Row],[Réduction]],0)</f>
        <v>4480.2583000000004</v>
      </c>
      <c r="AD19" s="460">
        <f>Tableau1[[#This Row],[Cotisation]]/26</f>
        <v>172.31762692307694</v>
      </c>
      <c r="AJ19" s="330" t="s">
        <v>200</v>
      </c>
      <c r="AK19" s="334">
        <v>27060</v>
      </c>
      <c r="AL19" s="335">
        <v>4606</v>
      </c>
      <c r="AM19" s="335">
        <v>30693</v>
      </c>
      <c r="AN19" s="335">
        <v>2571</v>
      </c>
      <c r="AO19" s="336">
        <v>64930</v>
      </c>
    </row>
    <row r="20" spans="4:41" ht="15" customHeight="1" thickTop="1" thickBot="1" x14ac:dyDescent="0.3">
      <c r="X20" s="448">
        <v>10</v>
      </c>
      <c r="Y20" s="449">
        <v>61716</v>
      </c>
      <c r="Z20" s="450">
        <f>Tableau1[[#This Row],[Sal_conven]]*Service</f>
        <v>61716</v>
      </c>
      <c r="AA20" s="451">
        <f>IF(Tableau1[[#This Row],[Salaire_cotisable]]&lt;_35__du_MGA,0,(Tableau1[[#This Row],[Salaire_cotisable]]-Exemption)*Taux_de_cotisation)</f>
        <v>4784.4427999999998</v>
      </c>
      <c r="AB20" s="459">
        <f>IF(Tableau1[[#This Row],[Salaire_cotisable]]&lt;_35__du_MGA,0,IF(Facteur_de_réduction*((MGA*Service)-Tableau1[[#This Row],[Salaire_cotisable]])&gt;0,Facteur_de_réduction*((MGA*Service)-Tableau1[[#This Row],[Salaire_cotisable]]),0))</f>
        <v>0</v>
      </c>
      <c r="AC20" s="452">
        <f>IF(Tableau1[[#This Row],[Salaire_cotisable]]&gt;_35__du_MGA,Tableau1[[#This Row],[Taux]]-Tableau1[[#This Row],[Réduction]],0)</f>
        <v>4784.4427999999998</v>
      </c>
      <c r="AD20" s="460">
        <f>Tableau1[[#This Row],[Cotisation]]/26</f>
        <v>184.01703076923076</v>
      </c>
      <c r="AJ20" s="330" t="s">
        <v>201</v>
      </c>
      <c r="AK20" s="337">
        <v>6</v>
      </c>
      <c r="AL20" s="335">
        <v>1016</v>
      </c>
      <c r="AM20" s="335">
        <v>30524</v>
      </c>
      <c r="AN20" s="335">
        <v>5280</v>
      </c>
      <c r="AO20" s="336">
        <v>36826</v>
      </c>
    </row>
    <row r="21" spans="4:41" ht="15.75" thickTop="1" x14ac:dyDescent="0.25">
      <c r="D21" s="256" t="s">
        <v>145</v>
      </c>
      <c r="E21" s="263">
        <v>6</v>
      </c>
      <c r="X21" s="440">
        <v>11</v>
      </c>
      <c r="Y21" s="441">
        <v>64757</v>
      </c>
      <c r="Z21" s="442">
        <f>Tableau1[[#This Row],[Sal_conven]]*Service</f>
        <v>64757</v>
      </c>
      <c r="AA21" s="443">
        <f>IF(Tableau1[[#This Row],[Salaire_cotisable]]&lt;_35__du_MGA,0,(Tableau1[[#This Row],[Salaire_cotisable]]-Exemption)*Taux_de_cotisation)</f>
        <v>5098.5780999999997</v>
      </c>
      <c r="AB21" s="458">
        <f>IF(Tableau1[[#This Row],[Salaire_cotisable]]&lt;_35__du_MGA,0,IF(Facteur_de_réduction*((MGA*Service)-Tableau1[[#This Row],[Salaire_cotisable]])&gt;0,Facteur_de_réduction*((MGA*Service)-Tableau1[[#This Row],[Salaire_cotisable]]),0))</f>
        <v>0</v>
      </c>
      <c r="AC21" s="444">
        <f>IF(Tableau1[[#This Row],[Salaire_cotisable]]&gt;_35__du_MGA,Tableau1[[#This Row],[Taux]]-Tableau1[[#This Row],[Réduction]],0)</f>
        <v>5098.5780999999997</v>
      </c>
      <c r="AD21" s="460">
        <f>Tableau1[[#This Row],[Cotisation]]/26</f>
        <v>196.09915769230767</v>
      </c>
      <c r="AJ21" s="330" t="s">
        <v>202</v>
      </c>
      <c r="AK21" s="337">
        <v>4</v>
      </c>
      <c r="AL21" s="338">
        <v>23</v>
      </c>
      <c r="AM21" s="335">
        <v>11576</v>
      </c>
      <c r="AN21" s="335">
        <v>5538</v>
      </c>
      <c r="AO21" s="336">
        <v>17141</v>
      </c>
    </row>
    <row r="22" spans="4:41" ht="15.75" thickBot="1" x14ac:dyDescent="0.3">
      <c r="D22" s="257" t="s">
        <v>146</v>
      </c>
      <c r="E22" s="265">
        <f>E21*0.5%</f>
        <v>0.03</v>
      </c>
      <c r="X22" s="440">
        <v>12</v>
      </c>
      <c r="Y22" s="441">
        <v>67988</v>
      </c>
      <c r="Z22" s="442">
        <f>Tableau1[[#This Row],[Sal_conven]]*Service</f>
        <v>67988</v>
      </c>
      <c r="AA22" s="443">
        <f>IF(Tableau1[[#This Row],[Salaire_cotisable]]&lt;_35__du_MGA,0,(Tableau1[[#This Row],[Salaire_cotisable]]-Exemption)*Taux_de_cotisation)</f>
        <v>5432.3404</v>
      </c>
      <c r="AB22" s="458">
        <f>IF(Tableau1[[#This Row],[Salaire_cotisable]]&lt;_35__du_MGA,0,IF(Facteur_de_réduction*((MGA*Service)-Tableau1[[#This Row],[Salaire_cotisable]])&gt;0,Facteur_de_réduction*((MGA*Service)-Tableau1[[#This Row],[Salaire_cotisable]]),0))</f>
        <v>0</v>
      </c>
      <c r="AC22" s="444">
        <f>IF(Tableau1[[#This Row],[Salaire_cotisable]]&gt;_35__du_MGA,Tableau1[[#This Row],[Taux]]-Tableau1[[#This Row],[Réduction]],0)</f>
        <v>5432.3404</v>
      </c>
      <c r="AD22" s="460">
        <f>Tableau1[[#This Row],[Cotisation]]/26</f>
        <v>208.93616923076922</v>
      </c>
      <c r="AJ22" s="330" t="s">
        <v>203</v>
      </c>
      <c r="AK22" s="337">
        <v>15</v>
      </c>
      <c r="AL22" s="338">
        <v>2</v>
      </c>
      <c r="AM22" s="335">
        <v>4108</v>
      </c>
      <c r="AN22" s="338">
        <v>792</v>
      </c>
      <c r="AO22" s="336">
        <v>4917</v>
      </c>
    </row>
    <row r="23" spans="4:41" ht="16.5" thickTop="1" thickBot="1" x14ac:dyDescent="0.3">
      <c r="D23" s="258" t="s">
        <v>147</v>
      </c>
      <c r="E23" s="259">
        <f>E19-(E19*E22)</f>
        <v>45628.800000000003</v>
      </c>
      <c r="X23" s="440">
        <v>13</v>
      </c>
      <c r="Y23" s="441">
        <v>71376</v>
      </c>
      <c r="Z23" s="442">
        <f>Tableau1[[#This Row],[Sal_conven]]*Service</f>
        <v>71376</v>
      </c>
      <c r="AA23" s="443">
        <f>IF(Tableau1[[#This Row],[Salaire_cotisable]]&lt;_35__du_MGA,0,(Tableau1[[#This Row],[Salaire_cotisable]]-Exemption)*Taux_de_cotisation)</f>
        <v>5782.3208000000004</v>
      </c>
      <c r="AB23" s="458">
        <f>IF(Tableau1[[#This Row],[Salaire_cotisable]]&lt;_35__du_MGA,0,IF(Facteur_de_réduction*((MGA*Service)-Tableau1[[#This Row],[Salaire_cotisable]])&gt;0,Facteur_de_réduction*((MGA*Service)-Tableau1[[#This Row],[Salaire_cotisable]]),0))</f>
        <v>0</v>
      </c>
      <c r="AC23" s="444">
        <f>IF(Tableau1[[#This Row],[Salaire_cotisable]]&gt;_35__du_MGA,Tableau1[[#This Row],[Taux]]-Tableau1[[#This Row],[Réduction]],0)</f>
        <v>5782.3208000000004</v>
      </c>
      <c r="AD23" s="460">
        <f>Tableau1[[#This Row],[Cotisation]]/26</f>
        <v>222.39695384615385</v>
      </c>
      <c r="AJ23" s="330" t="s">
        <v>204</v>
      </c>
      <c r="AK23" s="334">
        <v>1934</v>
      </c>
      <c r="AL23" s="335">
        <v>1959</v>
      </c>
      <c r="AM23" s="335">
        <v>2551</v>
      </c>
      <c r="AN23" s="338">
        <v>416</v>
      </c>
      <c r="AO23" s="336">
        <v>6860</v>
      </c>
    </row>
    <row r="24" spans="4:41" ht="15.75" thickTop="1" x14ac:dyDescent="0.25">
      <c r="X24" s="440">
        <v>14</v>
      </c>
      <c r="Y24" s="441">
        <v>74935</v>
      </c>
      <c r="Z24" s="442">
        <f>Tableau1[[#This Row],[Sal_conven]]*Service</f>
        <v>74935</v>
      </c>
      <c r="AA24" s="443">
        <f>IF(Tableau1[[#This Row],[Salaire_cotisable]]&lt;_35__du_MGA,0,(Tableau1[[#This Row],[Salaire_cotisable]]-Exemption)*Taux_de_cotisation)</f>
        <v>6149.9655000000002</v>
      </c>
      <c r="AB24" s="458">
        <f>IF(Tableau1[[#This Row],[Salaire_cotisable]]&lt;_35__du_MGA,0,IF(Facteur_de_réduction*((MGA*Service)-Tableau1[[#This Row],[Salaire_cotisable]])&gt;0,Facteur_de_réduction*((MGA*Service)-Tableau1[[#This Row],[Salaire_cotisable]]),0))</f>
        <v>0</v>
      </c>
      <c r="AC24" s="444">
        <f>IF(Tableau1[[#This Row],[Salaire_cotisable]]&gt;_35__du_MGA,Tableau1[[#This Row],[Taux]]-Tableau1[[#This Row],[Réduction]],0)</f>
        <v>6149.9655000000002</v>
      </c>
      <c r="AD24" s="460">
        <f>Tableau1[[#This Row],[Cotisation]]/26</f>
        <v>236.53713461538462</v>
      </c>
      <c r="AJ24" s="330" t="s">
        <v>205</v>
      </c>
      <c r="AK24" s="337"/>
      <c r="AL24" s="338">
        <v>1</v>
      </c>
      <c r="AM24" s="338">
        <v>165</v>
      </c>
      <c r="AN24" s="338">
        <v>4</v>
      </c>
      <c r="AO24" s="339">
        <v>170</v>
      </c>
    </row>
    <row r="25" spans="4:41" x14ac:dyDescent="0.25">
      <c r="X25" s="440">
        <v>15</v>
      </c>
      <c r="Y25" s="441">
        <v>78665</v>
      </c>
      <c r="Z25" s="442">
        <f>Tableau1[[#This Row],[Sal_conven]]*Service</f>
        <v>78665</v>
      </c>
      <c r="AA25" s="443">
        <f>IF(Tableau1[[#This Row],[Salaire_cotisable]]&lt;_35__du_MGA,0,(Tableau1[[#This Row],[Salaire_cotisable]]-Exemption)*Taux_de_cotisation)</f>
        <v>6535.2745000000004</v>
      </c>
      <c r="AB25" s="458">
        <f>IF(Tableau1[[#This Row],[Salaire_cotisable]]&lt;_35__du_MGA,0,IF(Facteur_de_réduction*((MGA*Service)-Tableau1[[#This Row],[Salaire_cotisable]])&gt;0,Facteur_de_réduction*((MGA*Service)-Tableau1[[#This Row],[Salaire_cotisable]]),0))</f>
        <v>0</v>
      </c>
      <c r="AC25" s="444">
        <f>IF(Tableau1[[#This Row],[Salaire_cotisable]]&gt;_35__du_MGA,Tableau1[[#This Row],[Taux]]-Tableau1[[#This Row],[Réduction]],0)</f>
        <v>6535.2745000000004</v>
      </c>
      <c r="AD25" s="460">
        <f>Tableau1[[#This Row],[Cotisation]]/26</f>
        <v>251.35671153846155</v>
      </c>
      <c r="AJ25" s="330" t="s">
        <v>206</v>
      </c>
      <c r="AK25" s="334">
        <v>5507</v>
      </c>
      <c r="AL25" s="338">
        <v>228</v>
      </c>
      <c r="AM25" s="335">
        <v>4796</v>
      </c>
      <c r="AN25" s="338">
        <v>823</v>
      </c>
      <c r="AO25" s="336">
        <v>11354</v>
      </c>
    </row>
    <row r="26" spans="4:41" ht="15.75" thickBot="1" x14ac:dyDescent="0.3">
      <c r="D26" s="254" t="s">
        <v>148</v>
      </c>
      <c r="X26" s="440">
        <v>16</v>
      </c>
      <c r="Y26" s="441">
        <v>82591</v>
      </c>
      <c r="Z26" s="442">
        <f>Tableau1[[#This Row],[Sal_conven]]*Service</f>
        <v>82591</v>
      </c>
      <c r="AA26" s="443">
        <f>IF(Tableau1[[#This Row],[Salaire_cotisable]]&lt;_35__du_MGA,0,(Tableau1[[#This Row],[Salaire_cotisable]]-Exemption)*Taux_de_cotisation)</f>
        <v>6940.8303000000005</v>
      </c>
      <c r="AB26" s="458">
        <f>IF(Tableau1[[#This Row],[Salaire_cotisable]]&lt;_35__du_MGA,0,IF(Facteur_de_réduction*((MGA*Service)-Tableau1[[#This Row],[Salaire_cotisable]])&gt;0,Facteur_de_réduction*((MGA*Service)-Tableau1[[#This Row],[Salaire_cotisable]]),0))</f>
        <v>0</v>
      </c>
      <c r="AC26" s="444">
        <f>IF(Tableau1[[#This Row],[Salaire_cotisable]]&gt;_35__du_MGA,Tableau1[[#This Row],[Taux]]-Tableau1[[#This Row],[Réduction]],0)</f>
        <v>6940.8303000000005</v>
      </c>
      <c r="AD26" s="460">
        <f>Tableau1[[#This Row],[Cotisation]]/26</f>
        <v>266.95501153846158</v>
      </c>
      <c r="AJ26" s="330" t="s">
        <v>207</v>
      </c>
      <c r="AK26" s="334">
        <v>3956</v>
      </c>
      <c r="AL26" s="335">
        <v>2493</v>
      </c>
      <c r="AM26" s="335">
        <v>1810</v>
      </c>
      <c r="AN26" s="338">
        <v>240</v>
      </c>
      <c r="AO26" s="336">
        <v>8499</v>
      </c>
    </row>
    <row r="27" spans="4:41" ht="15.75" thickTop="1" x14ac:dyDescent="0.25">
      <c r="D27" s="256" t="s">
        <v>132</v>
      </c>
      <c r="E27" s="455">
        <f>MGA</f>
        <v>61600</v>
      </c>
      <c r="X27" s="440">
        <v>17</v>
      </c>
      <c r="Y27" s="441">
        <v>86713</v>
      </c>
      <c r="Z27" s="442">
        <f>Tableau1[[#This Row],[Sal_conven]]*Service</f>
        <v>86713</v>
      </c>
      <c r="AA27" s="443">
        <f>IF(Tableau1[[#This Row],[Salaire_cotisable]]&lt;_35__du_MGA,0,(Tableau1[[#This Row],[Salaire_cotisable]]-Exemption)*Taux_de_cotisation)</f>
        <v>7366.6329000000005</v>
      </c>
      <c r="AB27" s="458">
        <f>IF(Tableau1[[#This Row],[Salaire_cotisable]]&lt;_35__du_MGA,0,IF(Facteur_de_réduction*((MGA*Service)-Tableau1[[#This Row],[Salaire_cotisable]])&gt;0,Facteur_de_réduction*((MGA*Service)-Tableau1[[#This Row],[Salaire_cotisable]]),0))</f>
        <v>0</v>
      </c>
      <c r="AC27" s="444">
        <f>IF(Tableau1[[#This Row],[Salaire_cotisable]]&gt;_35__du_MGA,Tableau1[[#This Row],[Taux]]-Tableau1[[#This Row],[Réduction]],0)</f>
        <v>7366.6329000000005</v>
      </c>
      <c r="AD27" s="460">
        <f>Tableau1[[#This Row],[Cotisation]]/26</f>
        <v>283.33203461538466</v>
      </c>
      <c r="AJ27" s="330" t="s">
        <v>208</v>
      </c>
      <c r="AK27" s="337">
        <v>121</v>
      </c>
      <c r="AL27" s="338">
        <v>62</v>
      </c>
      <c r="AM27" s="338">
        <v>352</v>
      </c>
      <c r="AN27" s="338">
        <v>70</v>
      </c>
      <c r="AO27" s="339">
        <v>605</v>
      </c>
    </row>
    <row r="28" spans="4:41" x14ac:dyDescent="0.25">
      <c r="D28" s="257" t="s">
        <v>149</v>
      </c>
      <c r="E28" s="267">
        <v>3500</v>
      </c>
      <c r="X28" s="440">
        <v>18</v>
      </c>
      <c r="Y28" s="441">
        <v>88126</v>
      </c>
      <c r="Z28" s="442">
        <f>Tableau1[[#This Row],[Sal_conven]]*Service</f>
        <v>88126</v>
      </c>
      <c r="AA28" s="443">
        <f>IF(Tableau1[[#This Row],[Salaire_cotisable]]&lt;_35__du_MGA,0,(Tableau1[[#This Row],[Salaire_cotisable]]-Exemption)*Taux_de_cotisation)</f>
        <v>7512.5958000000001</v>
      </c>
      <c r="AB28" s="458">
        <f>IF(Tableau1[[#This Row],[Salaire_cotisable]]&lt;_35__du_MGA,0,IF(Facteur_de_réduction*((MGA*Service)-Tableau1[[#This Row],[Salaire_cotisable]])&gt;0,Facteur_de_réduction*((MGA*Service)-Tableau1[[#This Row],[Salaire_cotisable]]),0))</f>
        <v>0</v>
      </c>
      <c r="AC28" s="444">
        <f>IF(Tableau1[[#This Row],[Salaire_cotisable]]&gt;_35__du_MGA,Tableau1[[#This Row],[Taux]]-Tableau1[[#This Row],[Réduction]],0)</f>
        <v>7512.5958000000001</v>
      </c>
      <c r="AD28" s="460">
        <f>Tableau1[[#This Row],[Cotisation]]/26</f>
        <v>288.94599230769234</v>
      </c>
      <c r="AJ28" s="330" t="s">
        <v>209</v>
      </c>
      <c r="AK28" s="337">
        <v>354</v>
      </c>
      <c r="AL28" s="338">
        <v>6</v>
      </c>
      <c r="AM28" s="338">
        <v>242</v>
      </c>
      <c r="AN28" s="338">
        <v>131</v>
      </c>
      <c r="AO28" s="339">
        <v>733</v>
      </c>
    </row>
    <row r="29" spans="4:41" x14ac:dyDescent="0.25">
      <c r="D29" s="257" t="s">
        <v>150</v>
      </c>
      <c r="E29" s="260">
        <f>E27-E28</f>
        <v>58100</v>
      </c>
      <c r="X29" s="440">
        <v>19</v>
      </c>
      <c r="Y29" s="441">
        <v>89563</v>
      </c>
      <c r="Z29" s="442">
        <f>Tableau1[[#This Row],[Sal_conven]]*Service</f>
        <v>89563</v>
      </c>
      <c r="AA29" s="443">
        <f>IF(Tableau1[[#This Row],[Salaire_cotisable]]&lt;_35__du_MGA,0,(Tableau1[[#This Row],[Salaire_cotisable]]-Exemption)*Taux_de_cotisation)</f>
        <v>7661.0379000000003</v>
      </c>
      <c r="AB29" s="458">
        <f>IF(Tableau1[[#This Row],[Salaire_cotisable]]&lt;_35__du_MGA,0,IF(Facteur_de_réduction*((MGA*Service)-Tableau1[[#This Row],[Salaire_cotisable]])&gt;0,Facteur_de_réduction*((MGA*Service)-Tableau1[[#This Row],[Salaire_cotisable]]),0))</f>
        <v>0</v>
      </c>
      <c r="AC29" s="444">
        <f>IF(Tableau1[[#This Row],[Salaire_cotisable]]&gt;_35__du_MGA,Tableau1[[#This Row],[Taux]]-Tableau1[[#This Row],[Réduction]],0)</f>
        <v>7661.0379000000003</v>
      </c>
      <c r="AD29" s="460">
        <f>Tableau1[[#This Row],[Cotisation]]/26</f>
        <v>294.65530384615386</v>
      </c>
      <c r="AJ29" s="330" t="s">
        <v>210</v>
      </c>
      <c r="AK29" s="337">
        <v>3</v>
      </c>
      <c r="AL29" s="338">
        <v>0</v>
      </c>
      <c r="AM29" s="338">
        <v>9</v>
      </c>
      <c r="AN29" s="338">
        <v>2</v>
      </c>
      <c r="AO29" s="339">
        <v>14</v>
      </c>
    </row>
    <row r="30" spans="4:41" ht="15.75" thickBot="1" x14ac:dyDescent="0.3">
      <c r="D30" s="257" t="s">
        <v>135</v>
      </c>
      <c r="E30" s="261">
        <v>5.8999999999999997E-2</v>
      </c>
      <c r="X30" s="448">
        <v>20</v>
      </c>
      <c r="Y30" s="449">
        <v>91023</v>
      </c>
      <c r="Z30" s="450">
        <f>Tableau1[[#This Row],[Sal_conven]]*Service</f>
        <v>91023</v>
      </c>
      <c r="AA30" s="451">
        <f>IF(Tableau1[[#This Row],[Salaire_cotisable]]&lt;_35__du_MGA,0,(Tableau1[[#This Row],[Salaire_cotisable]]-Exemption)*Taux_de_cotisation)</f>
        <v>7811.8559000000005</v>
      </c>
      <c r="AB30" s="459">
        <f>IF(Tableau1[[#This Row],[Salaire_cotisable]]&lt;_35__du_MGA,0,IF(Facteur_de_réduction*((MGA*Service)-Tableau1[[#This Row],[Salaire_cotisable]])&gt;0,Facteur_de_réduction*((MGA*Service)-Tableau1[[#This Row],[Salaire_cotisable]]),0))</f>
        <v>0</v>
      </c>
      <c r="AC30" s="452">
        <f>IF(Tableau1[[#This Row],[Salaire_cotisable]]&gt;_35__du_MGA,Tableau1[[#This Row],[Taux]]-Tableau1[[#This Row],[Réduction]],0)</f>
        <v>7811.8559000000005</v>
      </c>
      <c r="AD30" s="460">
        <f>Tableau1[[#This Row],[Cotisation]]/26</f>
        <v>300.45599615384617</v>
      </c>
      <c r="AJ30" s="330" t="s">
        <v>211</v>
      </c>
      <c r="AK30" s="337">
        <v>0</v>
      </c>
      <c r="AL30" s="338">
        <v>0</v>
      </c>
      <c r="AM30" s="338">
        <v>4</v>
      </c>
      <c r="AN30" s="338">
        <v>0</v>
      </c>
      <c r="AO30" s="339">
        <v>4</v>
      </c>
    </row>
    <row r="31" spans="4:41" ht="16.5" thickTop="1" thickBot="1" x14ac:dyDescent="0.3">
      <c r="D31" s="258" t="s">
        <v>151</v>
      </c>
      <c r="E31" s="259">
        <f>E30*E29</f>
        <v>3427.8999999999996</v>
      </c>
      <c r="AJ31" s="330" t="s">
        <v>212</v>
      </c>
      <c r="AK31" s="337">
        <v>0</v>
      </c>
      <c r="AL31" s="338">
        <v>3</v>
      </c>
      <c r="AM31" s="338">
        <v>84</v>
      </c>
      <c r="AN31" s="338">
        <v>23</v>
      </c>
      <c r="AO31" s="339">
        <v>110</v>
      </c>
    </row>
    <row r="32" spans="4:41" ht="16.5" thickTop="1" thickBot="1" x14ac:dyDescent="0.3">
      <c r="U32" s="254" t="s">
        <v>291</v>
      </c>
      <c r="AJ32" s="330" t="s">
        <v>213</v>
      </c>
      <c r="AK32" s="340">
        <v>117</v>
      </c>
      <c r="AL32" s="341">
        <v>8</v>
      </c>
      <c r="AM32" s="341">
        <v>203</v>
      </c>
      <c r="AN32" s="341">
        <v>13</v>
      </c>
      <c r="AO32" s="342">
        <v>341</v>
      </c>
    </row>
    <row r="33" spans="2:43" ht="16.5" thickTop="1" thickBot="1" x14ac:dyDescent="0.3">
      <c r="D33" s="254" t="s">
        <v>152</v>
      </c>
      <c r="U33" s="255" t="s">
        <v>292</v>
      </c>
      <c r="V33" s="453">
        <f>Exemption/1625</f>
        <v>9.476923076923077</v>
      </c>
      <c r="AJ33" s="343" t="s">
        <v>198</v>
      </c>
      <c r="AK33" s="344">
        <f>SUM(AK18:AK32)</f>
        <v>577855</v>
      </c>
      <c r="AL33" s="345">
        <f t="shared" ref="AL33:AO33" si="0">SUM(AL18:AL32)</f>
        <v>529116</v>
      </c>
      <c r="AM33" s="345">
        <f t="shared" si="0"/>
        <v>358037</v>
      </c>
      <c r="AN33" s="345">
        <f t="shared" si="0"/>
        <v>34338</v>
      </c>
      <c r="AO33" s="346">
        <f t="shared" si="0"/>
        <v>1499346</v>
      </c>
    </row>
    <row r="34" spans="2:43" ht="16.5" thickTop="1" thickBot="1" x14ac:dyDescent="0.3">
      <c r="D34" s="254" t="s">
        <v>153</v>
      </c>
    </row>
    <row r="35" spans="2:43" ht="16.5" thickTop="1" thickBot="1" x14ac:dyDescent="0.3">
      <c r="D35" s="347" t="s">
        <v>47</v>
      </c>
      <c r="E35" s="348" t="s">
        <v>35</v>
      </c>
      <c r="AK35" s="254" t="s">
        <v>214</v>
      </c>
    </row>
    <row r="36" spans="2:43" ht="15.75" customHeight="1" thickTop="1" thickBot="1" x14ac:dyDescent="0.3">
      <c r="D36" s="295">
        <v>2021</v>
      </c>
      <c r="E36" s="296">
        <v>61600</v>
      </c>
      <c r="AJ36" s="329"/>
      <c r="AK36" s="349">
        <v>1980</v>
      </c>
      <c r="AL36" s="350">
        <v>1990</v>
      </c>
      <c r="AM36" s="350">
        <v>2000</v>
      </c>
      <c r="AN36" s="350">
        <v>2010</v>
      </c>
      <c r="AO36" s="350">
        <v>2020</v>
      </c>
      <c r="AP36" s="350">
        <v>2030</v>
      </c>
      <c r="AQ36" s="351">
        <v>2040</v>
      </c>
    </row>
    <row r="37" spans="2:43" ht="15.75" thickTop="1" x14ac:dyDescent="0.25">
      <c r="D37" s="297">
        <v>2020</v>
      </c>
      <c r="E37" s="298">
        <v>58700</v>
      </c>
      <c r="AJ37" s="354" t="s">
        <v>215</v>
      </c>
      <c r="AK37" s="355">
        <v>34.9</v>
      </c>
      <c r="AL37" s="356">
        <v>14.5</v>
      </c>
      <c r="AM37" s="356">
        <v>4.4000000000000004</v>
      </c>
      <c r="AN37" s="356">
        <v>2.6</v>
      </c>
      <c r="AO37" s="356">
        <v>1.6</v>
      </c>
      <c r="AP37" s="356">
        <v>1.2</v>
      </c>
      <c r="AQ37" s="357">
        <v>1.1000000000000001</v>
      </c>
    </row>
    <row r="38" spans="2:43" ht="15.75" customHeight="1" x14ac:dyDescent="0.25">
      <c r="D38" s="297">
        <v>2019</v>
      </c>
      <c r="E38" s="298">
        <v>57400</v>
      </c>
      <c r="AJ38" s="361" t="s">
        <v>217</v>
      </c>
      <c r="AK38" s="362" t="s">
        <v>218</v>
      </c>
      <c r="AL38" s="363">
        <v>0.14000000000000001</v>
      </c>
      <c r="AM38" s="363">
        <v>0.22</v>
      </c>
      <c r="AN38" s="363">
        <v>0.49</v>
      </c>
      <c r="AO38" s="363">
        <v>0.52</v>
      </c>
      <c r="AP38" s="363">
        <v>0.51</v>
      </c>
      <c r="AQ38" s="364">
        <v>0.56999999999999995</v>
      </c>
    </row>
    <row r="39" spans="2:43" x14ac:dyDescent="0.25">
      <c r="D39" s="297">
        <v>2018</v>
      </c>
      <c r="E39" s="298">
        <v>55900</v>
      </c>
      <c r="AJ39" s="361" t="s">
        <v>220</v>
      </c>
      <c r="AK39" s="362">
        <v>0.3</v>
      </c>
      <c r="AL39" s="367">
        <v>1.6</v>
      </c>
      <c r="AM39" s="367">
        <v>2.2000000000000002</v>
      </c>
      <c r="AN39" s="367">
        <v>2</v>
      </c>
      <c r="AO39" s="367">
        <v>2.7</v>
      </c>
      <c r="AP39" s="367">
        <v>3.3</v>
      </c>
      <c r="AQ39" s="368">
        <v>4</v>
      </c>
    </row>
    <row r="40" spans="2:43" ht="16.5" customHeight="1" thickBot="1" x14ac:dyDescent="0.3">
      <c r="D40" s="408">
        <v>2017</v>
      </c>
      <c r="E40" s="298">
        <v>55300</v>
      </c>
      <c r="AJ40" s="369" t="s">
        <v>221</v>
      </c>
      <c r="AK40" s="370">
        <v>2E-3</v>
      </c>
      <c r="AL40" s="371">
        <v>1.4E-2</v>
      </c>
      <c r="AM40" s="371">
        <v>1.9E-2</v>
      </c>
      <c r="AN40" s="371">
        <v>1.7999999999999999E-2</v>
      </c>
      <c r="AO40" s="371">
        <v>2.4E-2</v>
      </c>
      <c r="AP40" s="371">
        <v>2.9000000000000001E-2</v>
      </c>
      <c r="AQ40" s="372">
        <v>3.5000000000000003E-2</v>
      </c>
    </row>
    <row r="41" spans="2:43" ht="16.5" thickTop="1" thickBot="1" x14ac:dyDescent="0.3">
      <c r="D41" s="409" t="s">
        <v>154</v>
      </c>
      <c r="E41" s="410">
        <f>AVERAGE(E36:E40)</f>
        <v>57780</v>
      </c>
    </row>
    <row r="42" spans="2:43" ht="15.75" customHeight="1" thickTop="1" thickBot="1" x14ac:dyDescent="0.3"/>
    <row r="43" spans="2:43" ht="15.75" thickTop="1" x14ac:dyDescent="0.25">
      <c r="D43" s="256" t="s">
        <v>155</v>
      </c>
      <c r="E43" s="262">
        <v>7.0000000000000001E-3</v>
      </c>
    </row>
    <row r="44" spans="2:43" ht="15.75" thickBot="1" x14ac:dyDescent="0.3">
      <c r="D44" s="257" t="s">
        <v>156</v>
      </c>
      <c r="E44" s="299">
        <v>35</v>
      </c>
      <c r="AK44" s="254" t="s">
        <v>157</v>
      </c>
    </row>
    <row r="45" spans="2:43" ht="16.5" thickTop="1" thickBot="1" x14ac:dyDescent="0.3">
      <c r="D45" s="258" t="s">
        <v>146</v>
      </c>
      <c r="E45" s="259">
        <f>E43*E44*E41</f>
        <v>14156.1</v>
      </c>
    </row>
    <row r="46" spans="2:43" ht="15.75" thickTop="1" x14ac:dyDescent="0.25">
      <c r="AK46" s="482" t="s">
        <v>159</v>
      </c>
      <c r="AL46" s="484" t="s">
        <v>160</v>
      </c>
    </row>
    <row r="47" spans="2:43" ht="15.75" thickBot="1" x14ac:dyDescent="0.3">
      <c r="AK47" s="483"/>
      <c r="AL47" s="485"/>
    </row>
    <row r="48" spans="2:43" ht="16.5" thickTop="1" thickBot="1" x14ac:dyDescent="0.3">
      <c r="B48" s="254" t="s">
        <v>174</v>
      </c>
      <c r="L48" s="254" t="s">
        <v>175</v>
      </c>
      <c r="AK48" s="486">
        <v>1.2</v>
      </c>
      <c r="AL48" s="484" t="s">
        <v>164</v>
      </c>
    </row>
    <row r="49" spans="2:38" ht="16.5" thickTop="1" thickBot="1" x14ac:dyDescent="0.3">
      <c r="B49" s="300" t="s">
        <v>47</v>
      </c>
      <c r="C49" s="301" t="s">
        <v>176</v>
      </c>
      <c r="L49" s="302" t="s">
        <v>47</v>
      </c>
      <c r="M49" s="303" t="s">
        <v>177</v>
      </c>
      <c r="AK49" s="487"/>
      <c r="AL49" s="485"/>
    </row>
    <row r="50" spans="2:38" ht="15.75" thickTop="1" x14ac:dyDescent="0.25">
      <c r="B50" s="304">
        <v>1973</v>
      </c>
      <c r="C50" s="305">
        <v>7.4999999999999997E-2</v>
      </c>
      <c r="L50" s="306">
        <v>1996</v>
      </c>
      <c r="M50" s="307">
        <v>19.8</v>
      </c>
      <c r="AK50" s="488">
        <v>1.1000000000000001</v>
      </c>
      <c r="AL50" s="490" t="s">
        <v>165</v>
      </c>
    </row>
    <row r="51" spans="2:38" ht="15.75" thickBot="1" x14ac:dyDescent="0.3">
      <c r="B51" s="306">
        <v>1974</v>
      </c>
      <c r="C51" s="308">
        <v>7.4999999999999997E-2</v>
      </c>
      <c r="L51" s="306">
        <f>L50+1</f>
        <v>1997</v>
      </c>
      <c r="M51" s="307">
        <v>22.8</v>
      </c>
      <c r="AK51" s="489"/>
      <c r="AL51" s="485"/>
    </row>
    <row r="52" spans="2:38" ht="15.75" thickTop="1" x14ac:dyDescent="0.25">
      <c r="B52" s="306">
        <v>1975</v>
      </c>
      <c r="C52" s="308">
        <v>7.4999999999999997E-2</v>
      </c>
      <c r="L52" s="306">
        <f t="shared" ref="L52:L73" si="1">L51+1</f>
        <v>1998</v>
      </c>
      <c r="M52" s="307">
        <v>25.6</v>
      </c>
      <c r="AK52" s="480" t="s">
        <v>168</v>
      </c>
    </row>
    <row r="53" spans="2:38" x14ac:dyDescent="0.25">
      <c r="B53" s="306">
        <v>1976</v>
      </c>
      <c r="C53" s="308">
        <v>7.4999999999999997E-2</v>
      </c>
      <c r="L53" s="306">
        <f t="shared" si="1"/>
        <v>1999</v>
      </c>
      <c r="M53" s="307">
        <v>29.7</v>
      </c>
      <c r="AK53" s="480"/>
    </row>
    <row r="54" spans="2:38" x14ac:dyDescent="0.25">
      <c r="B54" s="306">
        <v>1977</v>
      </c>
      <c r="C54" s="308">
        <v>7.4999999999999997E-2</v>
      </c>
      <c r="L54" s="306">
        <f t="shared" si="1"/>
        <v>2000</v>
      </c>
      <c r="M54" s="307">
        <v>31.6</v>
      </c>
      <c r="AK54" s="480"/>
    </row>
    <row r="55" spans="2:38" x14ac:dyDescent="0.25">
      <c r="B55" s="306">
        <v>1978</v>
      </c>
      <c r="C55" s="308">
        <v>7.4999999999999997E-2</v>
      </c>
      <c r="L55" s="306">
        <f t="shared" si="1"/>
        <v>2001</v>
      </c>
      <c r="M55" s="307">
        <v>30</v>
      </c>
      <c r="AK55" s="480"/>
    </row>
    <row r="56" spans="2:38" x14ac:dyDescent="0.25">
      <c r="B56" s="306">
        <v>1979</v>
      </c>
      <c r="C56" s="308">
        <v>7.4999999999999997E-2</v>
      </c>
      <c r="L56" s="306">
        <f t="shared" si="1"/>
        <v>2002</v>
      </c>
      <c r="M56" s="307">
        <v>27.2</v>
      </c>
      <c r="AK56" s="480"/>
    </row>
    <row r="57" spans="2:38" x14ac:dyDescent="0.25">
      <c r="B57" s="306">
        <v>1980</v>
      </c>
      <c r="C57" s="308">
        <v>7.4999999999999997E-2</v>
      </c>
      <c r="L57" s="306">
        <f t="shared" si="1"/>
        <v>2003</v>
      </c>
      <c r="M57" s="307">
        <v>31</v>
      </c>
      <c r="AK57" s="480"/>
    </row>
    <row r="58" spans="2:38" x14ac:dyDescent="0.25">
      <c r="B58" s="306">
        <v>1981</v>
      </c>
      <c r="C58" s="308">
        <v>7.4999999999999997E-2</v>
      </c>
      <c r="L58" s="306">
        <f t="shared" si="1"/>
        <v>2004</v>
      </c>
      <c r="M58" s="307">
        <v>34.299999999999997</v>
      </c>
      <c r="AK58" s="480"/>
    </row>
    <row r="59" spans="2:38" x14ac:dyDescent="0.25">
      <c r="B59" s="306">
        <v>1982</v>
      </c>
      <c r="C59" s="308">
        <v>7.4999999999999997E-2</v>
      </c>
      <c r="L59" s="306">
        <f t="shared" si="1"/>
        <v>2005</v>
      </c>
      <c r="M59" s="307">
        <v>38.9</v>
      </c>
      <c r="AK59" s="480"/>
    </row>
    <row r="60" spans="2:38" x14ac:dyDescent="0.25">
      <c r="B60" s="306">
        <v>1983</v>
      </c>
      <c r="C60" s="308">
        <v>7.0999999999999994E-2</v>
      </c>
      <c r="L60" s="306">
        <f t="shared" si="1"/>
        <v>2006</v>
      </c>
      <c r="M60" s="307">
        <v>44.2</v>
      </c>
      <c r="AK60" s="480"/>
    </row>
    <row r="61" spans="2:38" x14ac:dyDescent="0.25">
      <c r="B61" s="306">
        <v>1984</v>
      </c>
      <c r="C61" s="308">
        <v>7.0000000000000007E-2</v>
      </c>
      <c r="L61" s="306">
        <f t="shared" si="1"/>
        <v>2007</v>
      </c>
      <c r="M61" s="307">
        <v>46.1</v>
      </c>
      <c r="AK61" s="480"/>
    </row>
    <row r="62" spans="2:38" ht="15.75" thickBot="1" x14ac:dyDescent="0.3">
      <c r="B62" s="306">
        <v>1985</v>
      </c>
      <c r="C62" s="308">
        <v>7.0000000000000007E-2</v>
      </c>
      <c r="L62" s="306">
        <f t="shared" si="1"/>
        <v>2008</v>
      </c>
      <c r="M62" s="307">
        <v>33.799999999999997</v>
      </c>
      <c r="AK62" s="481"/>
    </row>
    <row r="63" spans="2:38" ht="15.75" thickTop="1" x14ac:dyDescent="0.25">
      <c r="B63" s="306">
        <v>1986</v>
      </c>
      <c r="C63" s="308">
        <v>7.0000000000000007E-2</v>
      </c>
      <c r="L63" s="306">
        <f t="shared" si="1"/>
        <v>2009</v>
      </c>
      <c r="M63" s="307">
        <v>37.200000000000003</v>
      </c>
    </row>
    <row r="64" spans="2:38" x14ac:dyDescent="0.25">
      <c r="B64" s="306">
        <v>1987</v>
      </c>
      <c r="C64" s="308">
        <v>7.0000000000000007E-2</v>
      </c>
      <c r="L64" s="306">
        <f t="shared" si="1"/>
        <v>2010</v>
      </c>
      <c r="M64" s="307">
        <v>41.3</v>
      </c>
    </row>
    <row r="65" spans="2:13" x14ac:dyDescent="0.25">
      <c r="B65" s="306">
        <v>1988</v>
      </c>
      <c r="C65" s="308">
        <v>7.0000000000000007E-2</v>
      </c>
      <c r="L65" s="306">
        <f t="shared" si="1"/>
        <v>2011</v>
      </c>
      <c r="M65" s="307">
        <v>42</v>
      </c>
    </row>
    <row r="66" spans="2:13" x14ac:dyDescent="0.25">
      <c r="B66" s="306">
        <v>1989</v>
      </c>
      <c r="C66" s="308">
        <v>7.0000000000000007E-2</v>
      </c>
      <c r="L66" s="306">
        <f t="shared" si="1"/>
        <v>2012</v>
      </c>
      <c r="M66" s="307">
        <v>45.1</v>
      </c>
    </row>
    <row r="67" spans="2:13" x14ac:dyDescent="0.25">
      <c r="B67" s="306">
        <v>1990</v>
      </c>
      <c r="C67" s="308">
        <v>7.0000000000000007E-2</v>
      </c>
      <c r="L67" s="306">
        <f t="shared" si="1"/>
        <v>2013</v>
      </c>
      <c r="M67" s="307">
        <v>50.4</v>
      </c>
    </row>
    <row r="68" spans="2:13" x14ac:dyDescent="0.25">
      <c r="B68" s="306">
        <v>1991</v>
      </c>
      <c r="C68" s="308">
        <v>7.0000000000000007E-2</v>
      </c>
      <c r="L68" s="306">
        <f t="shared" si="1"/>
        <v>2014</v>
      </c>
      <c r="M68" s="307">
        <v>55.7</v>
      </c>
    </row>
    <row r="69" spans="2:13" x14ac:dyDescent="0.25">
      <c r="B69" s="306">
        <v>1992</v>
      </c>
      <c r="C69" s="308">
        <v>7.0000000000000007E-2</v>
      </c>
      <c r="L69" s="306">
        <f t="shared" si="1"/>
        <v>2015</v>
      </c>
      <c r="M69" s="307">
        <v>59.9</v>
      </c>
    </row>
    <row r="70" spans="2:13" x14ac:dyDescent="0.25">
      <c r="B70" s="306">
        <v>1993</v>
      </c>
      <c r="C70" s="308">
        <v>7.6799999999999993E-2</v>
      </c>
      <c r="L70" s="306">
        <f t="shared" si="1"/>
        <v>2016</v>
      </c>
      <c r="M70" s="307">
        <v>63.6</v>
      </c>
    </row>
    <row r="71" spans="2:13" x14ac:dyDescent="0.25">
      <c r="B71" s="306">
        <v>1994</v>
      </c>
      <c r="C71" s="308">
        <v>7.6799999999999993E-2</v>
      </c>
      <c r="L71" s="306">
        <f t="shared" si="1"/>
        <v>2017</v>
      </c>
      <c r="M71" s="307">
        <v>68.5</v>
      </c>
    </row>
    <row r="72" spans="2:13" x14ac:dyDescent="0.25">
      <c r="B72" s="306">
        <v>1995</v>
      </c>
      <c r="C72" s="308">
        <v>7.6799999999999993E-2</v>
      </c>
      <c r="L72" s="306">
        <f t="shared" si="1"/>
        <v>2018</v>
      </c>
      <c r="M72" s="307">
        <v>70.400000000000006</v>
      </c>
    </row>
    <row r="73" spans="2:13" ht="15.75" thickBot="1" x14ac:dyDescent="0.3">
      <c r="B73" s="306">
        <v>1996</v>
      </c>
      <c r="C73" s="308">
        <v>7.9500000000000001E-2</v>
      </c>
      <c r="L73" s="309">
        <f t="shared" si="1"/>
        <v>2019</v>
      </c>
      <c r="M73" s="310">
        <v>76.8</v>
      </c>
    </row>
    <row r="74" spans="2:13" ht="15.75" thickTop="1" x14ac:dyDescent="0.25">
      <c r="B74" s="306">
        <v>1997</v>
      </c>
      <c r="C74" s="308">
        <v>7.9500000000000001E-2</v>
      </c>
    </row>
    <row r="75" spans="2:13" x14ac:dyDescent="0.25">
      <c r="B75" s="306">
        <v>1998</v>
      </c>
      <c r="C75" s="308">
        <v>7.9500000000000001E-2</v>
      </c>
    </row>
    <row r="76" spans="2:13" x14ac:dyDescent="0.25">
      <c r="B76" s="306">
        <v>1999</v>
      </c>
      <c r="C76" s="308">
        <v>7.9500000000000001E-2</v>
      </c>
    </row>
    <row r="77" spans="2:13" x14ac:dyDescent="0.25">
      <c r="B77" s="306">
        <v>2000</v>
      </c>
      <c r="C77" s="308">
        <v>5.3499999999999999E-2</v>
      </c>
    </row>
    <row r="78" spans="2:13" x14ac:dyDescent="0.25">
      <c r="B78" s="306">
        <v>2001</v>
      </c>
      <c r="C78" s="308">
        <v>5.3499999999999999E-2</v>
      </c>
    </row>
    <row r="79" spans="2:13" x14ac:dyDescent="0.25">
      <c r="B79" s="306">
        <v>2002</v>
      </c>
      <c r="C79" s="308">
        <v>5.3499999999999999E-2</v>
      </c>
    </row>
    <row r="80" spans="2:13" x14ac:dyDescent="0.25">
      <c r="B80" s="306">
        <v>2003</v>
      </c>
      <c r="C80" s="308">
        <v>5.3499999999999999E-2</v>
      </c>
    </row>
    <row r="81" spans="2:24" x14ac:dyDescent="0.25">
      <c r="B81" s="306">
        <v>2004</v>
      </c>
      <c r="C81" s="308">
        <v>5.3499999999999999E-2</v>
      </c>
    </row>
    <row r="82" spans="2:24" x14ac:dyDescent="0.25">
      <c r="B82" s="306">
        <v>2005</v>
      </c>
      <c r="C82" s="308">
        <v>7.0599999999999996E-2</v>
      </c>
    </row>
    <row r="83" spans="2:24" x14ac:dyDescent="0.25">
      <c r="B83" s="306">
        <v>2006</v>
      </c>
      <c r="C83" s="308">
        <v>7.0599999999999996E-2</v>
      </c>
      <c r="N83" s="254" t="s">
        <v>265</v>
      </c>
    </row>
    <row r="84" spans="2:24" ht="15.75" thickBot="1" x14ac:dyDescent="0.3">
      <c r="B84" s="306">
        <v>2007</v>
      </c>
      <c r="C84" s="308">
        <v>7.0599999999999996E-2</v>
      </c>
    </row>
    <row r="85" spans="2:24" ht="16.5" thickTop="1" thickBot="1" x14ac:dyDescent="0.3">
      <c r="B85" s="306">
        <v>2008</v>
      </c>
      <c r="C85" s="308">
        <v>8.1900000000000001E-2</v>
      </c>
      <c r="N85" s="373"/>
      <c r="O85" s="374" t="s">
        <v>222</v>
      </c>
      <c r="P85" s="373"/>
      <c r="Q85" s="375"/>
      <c r="R85" s="376" t="s">
        <v>222</v>
      </c>
      <c r="S85" s="377" t="s">
        <v>223</v>
      </c>
      <c r="T85" s="373"/>
      <c r="U85" s="375"/>
      <c r="V85" s="376" t="s">
        <v>222</v>
      </c>
      <c r="W85" s="378" t="s">
        <v>223</v>
      </c>
      <c r="X85" s="379" t="s">
        <v>224</v>
      </c>
    </row>
    <row r="86" spans="2:24" ht="16.5" thickTop="1" x14ac:dyDescent="0.25">
      <c r="B86" s="306">
        <v>2009</v>
      </c>
      <c r="C86" s="308">
        <v>8.1900000000000001E-2</v>
      </c>
      <c r="N86" s="380">
        <v>29952.75</v>
      </c>
      <c r="O86" s="381" t="s">
        <v>225</v>
      </c>
      <c r="P86" s="373"/>
      <c r="Q86" s="382">
        <v>36526.75</v>
      </c>
      <c r="R86" s="383" t="s">
        <v>226</v>
      </c>
      <c r="S86" s="384" t="s">
        <v>227</v>
      </c>
      <c r="T86" s="373"/>
      <c r="U86" s="385">
        <v>44197</v>
      </c>
      <c r="V86" s="405">
        <v>1.26E-2</v>
      </c>
      <c r="W86" s="386" t="s">
        <v>227</v>
      </c>
      <c r="X86" s="407">
        <f>V86/2</f>
        <v>6.3E-3</v>
      </c>
    </row>
    <row r="87" spans="2:24" ht="15.75" x14ac:dyDescent="0.25">
      <c r="B87" s="306">
        <v>2010</v>
      </c>
      <c r="C87" s="308">
        <v>8.1900000000000001E-2</v>
      </c>
      <c r="N87" s="382">
        <v>29587.75</v>
      </c>
      <c r="O87" s="387" t="s">
        <v>230</v>
      </c>
      <c r="P87" s="373"/>
      <c r="Q87" s="382">
        <v>36161.75</v>
      </c>
      <c r="R87" s="388" t="s">
        <v>231</v>
      </c>
      <c r="S87" s="389" t="s">
        <v>227</v>
      </c>
      <c r="T87" s="373"/>
      <c r="U87" s="385">
        <v>43831</v>
      </c>
      <c r="V87" s="402" t="s">
        <v>228</v>
      </c>
      <c r="W87" s="403" t="s">
        <v>227</v>
      </c>
      <c r="X87" s="404" t="s">
        <v>229</v>
      </c>
    </row>
    <row r="88" spans="2:24" ht="15.75" x14ac:dyDescent="0.25">
      <c r="B88" s="306">
        <v>2011</v>
      </c>
      <c r="C88" s="308">
        <v>8.6899999999999991E-2</v>
      </c>
      <c r="N88" s="382">
        <v>29221.75</v>
      </c>
      <c r="O88" s="387" t="s">
        <v>232</v>
      </c>
      <c r="P88" s="373"/>
      <c r="Q88" s="382">
        <v>35796.75</v>
      </c>
      <c r="R88" s="388" t="s">
        <v>233</v>
      </c>
      <c r="S88" s="389" t="s">
        <v>227</v>
      </c>
      <c r="T88" s="373"/>
      <c r="U88" s="382">
        <v>43466.25</v>
      </c>
      <c r="V88" s="390">
        <v>2.3E-2</v>
      </c>
      <c r="W88" s="391" t="s">
        <v>227</v>
      </c>
      <c r="X88" s="392">
        <v>1.15E-2</v>
      </c>
    </row>
    <row r="89" spans="2:24" ht="15.75" x14ac:dyDescent="0.25">
      <c r="B89" s="306">
        <v>2012</v>
      </c>
      <c r="C89" s="308">
        <v>8.9399999999999993E-2</v>
      </c>
      <c r="N89" s="382">
        <v>28856.75</v>
      </c>
      <c r="O89" s="387" t="s">
        <v>232</v>
      </c>
      <c r="P89" s="373"/>
      <c r="Q89" s="382">
        <v>35431.75</v>
      </c>
      <c r="R89" s="388" t="s">
        <v>234</v>
      </c>
      <c r="S89" s="389" t="s">
        <v>227</v>
      </c>
      <c r="T89" s="373"/>
      <c r="U89" s="382">
        <v>43101.5</v>
      </c>
      <c r="V89" s="390">
        <v>1.4999999999999999E-2</v>
      </c>
      <c r="W89" s="403" t="s">
        <v>227</v>
      </c>
      <c r="X89" s="392">
        <v>7.4999999999999997E-3</v>
      </c>
    </row>
    <row r="90" spans="2:24" ht="15.75" x14ac:dyDescent="0.25">
      <c r="B90" s="306">
        <v>2013</v>
      </c>
      <c r="C90" s="308">
        <v>9.1799999999999993E-2</v>
      </c>
      <c r="N90" s="382">
        <v>28491.75</v>
      </c>
      <c r="O90" s="387" t="s">
        <v>235</v>
      </c>
      <c r="P90" s="373"/>
      <c r="Q90" s="382">
        <v>35065.75</v>
      </c>
      <c r="R90" s="388" t="s">
        <v>236</v>
      </c>
      <c r="S90" s="389" t="s">
        <v>227</v>
      </c>
      <c r="T90" s="373"/>
      <c r="U90" s="382">
        <v>42736.75</v>
      </c>
      <c r="V90" s="390">
        <v>1.4E-2</v>
      </c>
      <c r="W90" s="403" t="s">
        <v>227</v>
      </c>
      <c r="X90" s="392">
        <v>7.0000000000000001E-3</v>
      </c>
    </row>
    <row r="91" spans="2:24" ht="15.75" x14ac:dyDescent="0.25">
      <c r="B91" s="306">
        <v>2014</v>
      </c>
      <c r="C91" s="308">
        <v>9.8400000000000001E-2</v>
      </c>
      <c r="N91" s="382">
        <v>28126.75</v>
      </c>
      <c r="O91" s="387" t="s">
        <v>237</v>
      </c>
      <c r="P91" s="373"/>
      <c r="Q91" s="382">
        <v>34700.75</v>
      </c>
      <c r="R91" s="388" t="s">
        <v>227</v>
      </c>
      <c r="S91" s="389" t="s">
        <v>227</v>
      </c>
      <c r="T91" s="373"/>
      <c r="U91" s="382">
        <v>42370</v>
      </c>
      <c r="V91" s="390">
        <v>1.2E-2</v>
      </c>
      <c r="W91" s="403" t="s">
        <v>227</v>
      </c>
      <c r="X91" s="392">
        <v>6.0000000000000001E-3</v>
      </c>
    </row>
    <row r="92" spans="2:24" ht="15.75" x14ac:dyDescent="0.25">
      <c r="B92" s="306">
        <v>2015</v>
      </c>
      <c r="C92" s="308">
        <v>0.105</v>
      </c>
      <c r="N92" s="382">
        <v>27760.75</v>
      </c>
      <c r="O92" s="387" t="s">
        <v>238</v>
      </c>
      <c r="P92" s="373"/>
      <c r="Q92" s="382">
        <v>34335.75</v>
      </c>
      <c r="R92" s="388" t="s">
        <v>233</v>
      </c>
      <c r="S92" s="389" t="s">
        <v>227</v>
      </c>
      <c r="T92" s="373"/>
      <c r="U92" s="382">
        <v>42005.25</v>
      </c>
      <c r="V92" s="390">
        <v>1.7999999999999999E-2</v>
      </c>
      <c r="W92" s="403" t="s">
        <v>227</v>
      </c>
      <c r="X92" s="392">
        <v>8.9999999999999993E-3</v>
      </c>
    </row>
    <row r="93" spans="2:24" ht="15.75" x14ac:dyDescent="0.25">
      <c r="B93" s="306">
        <v>2016</v>
      </c>
      <c r="C93" s="308">
        <v>0.11119999999999999</v>
      </c>
      <c r="N93" s="382">
        <v>27395.75</v>
      </c>
      <c r="O93" s="387" t="s">
        <v>239</v>
      </c>
      <c r="P93" s="373"/>
      <c r="Q93" s="382">
        <v>33970.75</v>
      </c>
      <c r="R93" s="388" t="s">
        <v>240</v>
      </c>
      <c r="S93" s="389" t="s">
        <v>227</v>
      </c>
      <c r="T93" s="373"/>
      <c r="U93" s="382">
        <v>41640.5</v>
      </c>
      <c r="V93" s="390">
        <v>8.9999999999999993E-3</v>
      </c>
      <c r="W93" s="403" t="s">
        <v>227</v>
      </c>
      <c r="X93" s="392">
        <v>4.4999999999999997E-3</v>
      </c>
    </row>
    <row r="94" spans="2:24" ht="16.5" thickBot="1" x14ac:dyDescent="0.3">
      <c r="B94" s="306">
        <v>2017</v>
      </c>
      <c r="C94" s="308">
        <v>0.1105</v>
      </c>
      <c r="N94" s="393">
        <v>27030.75</v>
      </c>
      <c r="O94" s="394" t="s">
        <v>237</v>
      </c>
      <c r="P94" s="373"/>
      <c r="Q94" s="382">
        <v>33604.75</v>
      </c>
      <c r="R94" s="388" t="s">
        <v>241</v>
      </c>
      <c r="S94" s="389" t="s">
        <v>242</v>
      </c>
      <c r="T94" s="373"/>
      <c r="U94" s="382">
        <v>41275.5</v>
      </c>
      <c r="V94" s="390">
        <v>1.7999999999999999E-2</v>
      </c>
      <c r="W94" s="403" t="s">
        <v>227</v>
      </c>
      <c r="X94" s="392">
        <v>8.9999999999999993E-3</v>
      </c>
    </row>
    <row r="95" spans="2:24" ht="16.5" thickTop="1" x14ac:dyDescent="0.25">
      <c r="B95" s="306">
        <v>2018</v>
      </c>
      <c r="C95" s="308">
        <v>0.10970000000000001</v>
      </c>
      <c r="N95" s="373"/>
      <c r="O95" s="373"/>
      <c r="P95" s="373"/>
      <c r="Q95" s="382">
        <v>33239.75</v>
      </c>
      <c r="R95" s="388" t="s">
        <v>243</v>
      </c>
      <c r="S95" s="389" t="s">
        <v>240</v>
      </c>
      <c r="T95" s="373"/>
      <c r="U95" s="382">
        <v>40909.5</v>
      </c>
      <c r="V95" s="388" t="s">
        <v>242</v>
      </c>
      <c r="W95" s="403" t="s">
        <v>227</v>
      </c>
      <c r="X95" s="392">
        <v>1.4E-2</v>
      </c>
    </row>
    <row r="96" spans="2:24" ht="15.75" x14ac:dyDescent="0.25">
      <c r="B96" s="306">
        <v>2019</v>
      </c>
      <c r="C96" s="308">
        <v>0.10879999999999999</v>
      </c>
      <c r="N96" s="373"/>
      <c r="O96" s="373"/>
      <c r="P96" s="373"/>
      <c r="Q96" s="382">
        <v>32874.75</v>
      </c>
      <c r="R96" s="388" t="s">
        <v>243</v>
      </c>
      <c r="S96" s="389" t="s">
        <v>240</v>
      </c>
      <c r="T96" s="373"/>
      <c r="U96" s="382">
        <v>40544.75</v>
      </c>
      <c r="V96" s="388" t="s">
        <v>244</v>
      </c>
      <c r="W96" s="403" t="s">
        <v>227</v>
      </c>
      <c r="X96" s="389" t="s">
        <v>245</v>
      </c>
    </row>
    <row r="97" spans="2:24" ht="15.75" x14ac:dyDescent="0.25">
      <c r="B97" s="306">
        <v>2020</v>
      </c>
      <c r="C97" s="308">
        <v>0.10630000000000001</v>
      </c>
      <c r="N97" s="373"/>
      <c r="O97" s="373"/>
      <c r="P97" s="373"/>
      <c r="Q97" s="382">
        <v>32509.75</v>
      </c>
      <c r="R97" s="388" t="s">
        <v>248</v>
      </c>
      <c r="S97" s="389" t="s">
        <v>249</v>
      </c>
      <c r="T97" s="373"/>
      <c r="U97" s="382">
        <v>40179.75</v>
      </c>
      <c r="V97" s="388" t="s">
        <v>246</v>
      </c>
      <c r="W97" s="391" t="s">
        <v>227</v>
      </c>
      <c r="X97" s="389" t="s">
        <v>247</v>
      </c>
    </row>
    <row r="98" spans="2:24" ht="15.75" x14ac:dyDescent="0.25">
      <c r="B98" s="306">
        <v>2021</v>
      </c>
      <c r="C98" s="308">
        <v>0.1033</v>
      </c>
      <c r="N98" s="373"/>
      <c r="O98" s="373"/>
      <c r="P98" s="373"/>
      <c r="Q98" s="382">
        <v>32143.75</v>
      </c>
      <c r="R98" s="388" t="s">
        <v>252</v>
      </c>
      <c r="S98" s="389" t="s">
        <v>253</v>
      </c>
      <c r="T98" s="373"/>
      <c r="U98" s="382">
        <v>39814.75</v>
      </c>
      <c r="V98" s="388" t="s">
        <v>250</v>
      </c>
      <c r="W98" s="391" t="s">
        <v>227</v>
      </c>
      <c r="X98" s="389" t="s">
        <v>251</v>
      </c>
    </row>
    <row r="99" spans="2:24" ht="16.5" thickBot="1" x14ac:dyDescent="0.3">
      <c r="B99" s="309">
        <v>2022</v>
      </c>
      <c r="C99" s="311">
        <v>0.10039999999999999</v>
      </c>
      <c r="N99" s="373"/>
      <c r="O99" s="373"/>
      <c r="P99" s="373"/>
      <c r="Q99" s="382">
        <v>31778.75</v>
      </c>
      <c r="R99" s="388" t="s">
        <v>248</v>
      </c>
      <c r="S99" s="389" t="s">
        <v>249</v>
      </c>
      <c r="T99" s="373"/>
      <c r="U99" s="382">
        <v>39448.75</v>
      </c>
      <c r="V99" s="388" t="s">
        <v>254</v>
      </c>
      <c r="W99" s="391" t="s">
        <v>227</v>
      </c>
      <c r="X99" s="389" t="s">
        <v>255</v>
      </c>
    </row>
    <row r="100" spans="2:24" ht="16.5" thickTop="1" x14ac:dyDescent="0.25">
      <c r="N100" s="373"/>
      <c r="O100" s="373"/>
      <c r="P100" s="373"/>
      <c r="Q100" s="382">
        <v>31413.75</v>
      </c>
      <c r="R100" s="388" t="s">
        <v>258</v>
      </c>
      <c r="S100" s="389" t="s">
        <v>255</v>
      </c>
      <c r="T100" s="373"/>
      <c r="U100" s="382">
        <v>39083.75</v>
      </c>
      <c r="V100" s="388" t="s">
        <v>256</v>
      </c>
      <c r="W100" s="391" t="s">
        <v>227</v>
      </c>
      <c r="X100" s="389" t="s">
        <v>257</v>
      </c>
    </row>
    <row r="101" spans="2:24" ht="16.5" thickBot="1" x14ac:dyDescent="0.3">
      <c r="B101" s="254" t="s">
        <v>178</v>
      </c>
      <c r="N101" s="373"/>
      <c r="O101" s="373"/>
      <c r="P101" s="373"/>
      <c r="Q101" s="382">
        <v>31048.75</v>
      </c>
      <c r="R101" s="388" t="s">
        <v>252</v>
      </c>
      <c r="S101" s="389" t="s">
        <v>253</v>
      </c>
      <c r="T101" s="373"/>
      <c r="U101" s="382">
        <v>38718.75</v>
      </c>
      <c r="V101" s="388" t="s">
        <v>236</v>
      </c>
      <c r="W101" s="391" t="s">
        <v>227</v>
      </c>
      <c r="X101" s="389" t="s">
        <v>259</v>
      </c>
    </row>
    <row r="102" spans="2:24" ht="17.25" thickTop="1" thickBot="1" x14ac:dyDescent="0.3">
      <c r="B102" s="300" t="s">
        <v>47</v>
      </c>
      <c r="C102" s="301" t="s">
        <v>176</v>
      </c>
      <c r="N102" s="373"/>
      <c r="O102" s="373"/>
      <c r="P102" s="373"/>
      <c r="Q102" s="382">
        <v>30682.75</v>
      </c>
      <c r="R102" s="388" t="s">
        <v>260</v>
      </c>
      <c r="S102" s="389" t="s">
        <v>261</v>
      </c>
      <c r="T102" s="373"/>
      <c r="U102" s="382">
        <v>38353.75</v>
      </c>
      <c r="V102" s="388" t="s">
        <v>244</v>
      </c>
      <c r="W102" s="391" t="s">
        <v>227</v>
      </c>
      <c r="X102" s="389" t="s">
        <v>245</v>
      </c>
    </row>
    <row r="103" spans="2:24" ht="17.25" thickTop="1" thickBot="1" x14ac:dyDescent="0.3">
      <c r="B103" s="304">
        <v>1997</v>
      </c>
      <c r="C103" s="305">
        <v>6.3500000000000001E-2</v>
      </c>
      <c r="N103" s="373"/>
      <c r="O103" s="373"/>
      <c r="P103" s="373"/>
      <c r="Q103" s="393">
        <v>30317.75</v>
      </c>
      <c r="R103" s="395" t="s">
        <v>238</v>
      </c>
      <c r="S103" s="396" t="s">
        <v>237</v>
      </c>
      <c r="T103" s="373"/>
      <c r="U103" s="382">
        <v>37987.75</v>
      </c>
      <c r="V103" s="388" t="s">
        <v>262</v>
      </c>
      <c r="W103" s="391" t="s">
        <v>247</v>
      </c>
      <c r="X103" s="389" t="s">
        <v>226</v>
      </c>
    </row>
    <row r="104" spans="2:24" ht="16.5" thickTop="1" x14ac:dyDescent="0.25">
      <c r="B104" s="306">
        <v>1998</v>
      </c>
      <c r="C104" s="308">
        <v>6.3500000000000001E-2</v>
      </c>
      <c r="N104" s="373"/>
      <c r="O104" s="373"/>
      <c r="P104" s="373"/>
      <c r="Q104" s="373"/>
      <c r="R104" s="373"/>
      <c r="S104" s="373"/>
      <c r="T104" s="373"/>
      <c r="U104" s="382">
        <v>37622.75</v>
      </c>
      <c r="V104" s="388" t="s">
        <v>226</v>
      </c>
      <c r="W104" s="391" t="s">
        <v>227</v>
      </c>
      <c r="X104" s="389" t="s">
        <v>263</v>
      </c>
    </row>
    <row r="105" spans="2:24" ht="15.75" x14ac:dyDescent="0.25">
      <c r="B105" s="306">
        <v>1999</v>
      </c>
      <c r="C105" s="308">
        <v>6.3500000000000001E-2</v>
      </c>
      <c r="N105" s="373"/>
      <c r="O105" s="373"/>
      <c r="P105" s="373"/>
      <c r="Q105" s="373"/>
      <c r="R105" s="373"/>
      <c r="S105" s="373"/>
      <c r="T105" s="373"/>
      <c r="U105" s="382">
        <v>37257.75</v>
      </c>
      <c r="V105" s="388" t="s">
        <v>264</v>
      </c>
      <c r="W105" s="391" t="s">
        <v>227</v>
      </c>
      <c r="X105" s="389" t="s">
        <v>234</v>
      </c>
    </row>
    <row r="106" spans="2:24" ht="16.5" thickBot="1" x14ac:dyDescent="0.3">
      <c r="B106" s="306">
        <v>2000</v>
      </c>
      <c r="C106" s="308">
        <v>0.01</v>
      </c>
      <c r="U106" s="393">
        <v>36892.75</v>
      </c>
      <c r="V106" s="395" t="s">
        <v>250</v>
      </c>
      <c r="W106" s="397" t="s">
        <v>227</v>
      </c>
      <c r="X106" s="396" t="s">
        <v>251</v>
      </c>
    </row>
    <row r="107" spans="2:24" ht="15.75" thickTop="1" x14ac:dyDescent="0.25">
      <c r="B107" s="306">
        <v>2001</v>
      </c>
      <c r="C107" s="308">
        <v>0.01</v>
      </c>
    </row>
    <row r="108" spans="2:24" x14ac:dyDescent="0.25">
      <c r="B108" s="306">
        <v>2002</v>
      </c>
      <c r="C108" s="308">
        <v>4.4999999999999998E-2</v>
      </c>
    </row>
    <row r="109" spans="2:24" x14ac:dyDescent="0.25">
      <c r="B109" s="306">
        <v>2003</v>
      </c>
      <c r="C109" s="308">
        <v>4.4999999999999998E-2</v>
      </c>
    </row>
    <row r="110" spans="2:24" x14ac:dyDescent="0.25">
      <c r="B110" s="306">
        <v>2004</v>
      </c>
      <c r="C110" s="308">
        <v>4.4999999999999998E-2</v>
      </c>
    </row>
    <row r="111" spans="2:24" x14ac:dyDescent="0.25">
      <c r="B111" s="306">
        <v>2005</v>
      </c>
      <c r="C111" s="308">
        <v>7.7800000000000008E-2</v>
      </c>
      <c r="N111" s="254" t="s">
        <v>265</v>
      </c>
    </row>
    <row r="112" spans="2:24" ht="15.75" thickBot="1" x14ac:dyDescent="0.3">
      <c r="B112" s="306">
        <v>2006</v>
      </c>
      <c r="C112" s="308">
        <v>7.7800000000000008E-2</v>
      </c>
    </row>
    <row r="113" spans="2:17" ht="16.5" thickTop="1" thickBot="1" x14ac:dyDescent="0.3">
      <c r="B113" s="306">
        <v>2007</v>
      </c>
      <c r="C113" s="308">
        <v>7.7800000000000008E-2</v>
      </c>
      <c r="N113" s="375"/>
      <c r="O113" s="376" t="s">
        <v>222</v>
      </c>
      <c r="P113" s="378" t="s">
        <v>223</v>
      </c>
      <c r="Q113" s="379" t="s">
        <v>224</v>
      </c>
    </row>
    <row r="114" spans="2:17" ht="16.5" thickTop="1" x14ac:dyDescent="0.25">
      <c r="B114" s="306">
        <v>2008</v>
      </c>
      <c r="C114" s="308">
        <v>0.10539999999999999</v>
      </c>
      <c r="N114" s="385">
        <v>44197</v>
      </c>
      <c r="O114" s="405">
        <v>1.26E-2</v>
      </c>
      <c r="P114" s="406" t="s">
        <v>227</v>
      </c>
      <c r="Q114" s="407">
        <f>O114/2</f>
        <v>6.3E-3</v>
      </c>
    </row>
    <row r="115" spans="2:17" ht="15.75" x14ac:dyDescent="0.25">
      <c r="B115" s="306">
        <v>2009</v>
      </c>
      <c r="C115" s="308">
        <v>0.10539999999999999</v>
      </c>
      <c r="N115" s="385">
        <v>43831</v>
      </c>
      <c r="O115" s="402" t="s">
        <v>228</v>
      </c>
      <c r="P115" s="403" t="s">
        <v>227</v>
      </c>
      <c r="Q115" s="404" t="s">
        <v>229</v>
      </c>
    </row>
    <row r="116" spans="2:17" ht="15.75" x14ac:dyDescent="0.25">
      <c r="B116" s="306">
        <v>2010</v>
      </c>
      <c r="C116" s="308">
        <v>0.10539999999999999</v>
      </c>
      <c r="N116" s="382">
        <f>N115-364.75</f>
        <v>43466.25</v>
      </c>
      <c r="O116" s="390">
        <v>2.3E-2</v>
      </c>
      <c r="P116" s="391" t="s">
        <v>227</v>
      </c>
      <c r="Q116" s="392">
        <v>1.15E-2</v>
      </c>
    </row>
    <row r="117" spans="2:17" ht="15.75" x14ac:dyDescent="0.25">
      <c r="B117" s="306">
        <v>2011</v>
      </c>
      <c r="C117" s="308">
        <v>0.11539999999999999</v>
      </c>
      <c r="N117" s="382">
        <f t="shared" ref="N117:N124" si="2">N116-364.75</f>
        <v>43101.5</v>
      </c>
      <c r="O117" s="390">
        <v>1.4999999999999999E-2</v>
      </c>
      <c r="P117" s="391" t="s">
        <v>227</v>
      </c>
      <c r="Q117" s="392">
        <v>7.4999999999999997E-3</v>
      </c>
    </row>
    <row r="118" spans="2:17" ht="15.75" x14ac:dyDescent="0.25">
      <c r="B118" s="306">
        <v>2012</v>
      </c>
      <c r="C118" s="308">
        <v>0.12300000000000001</v>
      </c>
      <c r="N118" s="382">
        <f t="shared" si="2"/>
        <v>42736.75</v>
      </c>
      <c r="O118" s="390">
        <v>1.4E-2</v>
      </c>
      <c r="P118" s="391" t="s">
        <v>227</v>
      </c>
      <c r="Q118" s="392">
        <v>7.0000000000000001E-3</v>
      </c>
    </row>
    <row r="119" spans="2:17" ht="15.75" x14ac:dyDescent="0.25">
      <c r="B119" s="306">
        <v>2013</v>
      </c>
      <c r="C119" s="308">
        <v>0.12300000000000001</v>
      </c>
      <c r="N119" s="382">
        <v>42370</v>
      </c>
      <c r="O119" s="390">
        <v>1.2E-2</v>
      </c>
      <c r="P119" s="391" t="s">
        <v>227</v>
      </c>
      <c r="Q119" s="392">
        <v>6.0000000000000001E-3</v>
      </c>
    </row>
    <row r="120" spans="2:17" ht="15.75" x14ac:dyDescent="0.25">
      <c r="B120" s="306">
        <v>2014</v>
      </c>
      <c r="C120" s="308">
        <v>0.14380000000000001</v>
      </c>
      <c r="N120" s="382">
        <f t="shared" si="2"/>
        <v>42005.25</v>
      </c>
      <c r="O120" s="390">
        <v>1.7999999999999999E-2</v>
      </c>
      <c r="P120" s="391" t="s">
        <v>227</v>
      </c>
      <c r="Q120" s="392">
        <v>8.9999999999999993E-3</v>
      </c>
    </row>
    <row r="121" spans="2:17" ht="15.75" x14ac:dyDescent="0.25">
      <c r="B121" s="306">
        <v>2015</v>
      </c>
      <c r="C121" s="308">
        <v>0.14380000000000001</v>
      </c>
      <c r="N121" s="382">
        <f t="shared" si="2"/>
        <v>41640.5</v>
      </c>
      <c r="O121" s="390">
        <v>8.9999999999999993E-3</v>
      </c>
      <c r="P121" s="391" t="s">
        <v>227</v>
      </c>
      <c r="Q121" s="392">
        <v>4.4999999999999997E-3</v>
      </c>
    </row>
    <row r="122" spans="2:17" ht="15.75" x14ac:dyDescent="0.25">
      <c r="B122" s="306">
        <v>2016</v>
      </c>
      <c r="C122" s="308">
        <v>0.14380000000000001</v>
      </c>
      <c r="N122" s="382">
        <f>N121-365</f>
        <v>41275.5</v>
      </c>
      <c r="O122" s="390">
        <v>1.7999999999999999E-2</v>
      </c>
      <c r="P122" s="391" t="s">
        <v>227</v>
      </c>
      <c r="Q122" s="392">
        <v>8.9999999999999993E-3</v>
      </c>
    </row>
    <row r="123" spans="2:17" ht="15.75" x14ac:dyDescent="0.25">
      <c r="B123" s="306">
        <v>2017</v>
      </c>
      <c r="C123" s="308">
        <v>0.15029999999999999</v>
      </c>
      <c r="N123" s="382">
        <f>N122-366</f>
        <v>40909.5</v>
      </c>
      <c r="O123" s="388" t="s">
        <v>242</v>
      </c>
      <c r="P123" s="391" t="s">
        <v>227</v>
      </c>
      <c r="Q123" s="392">
        <v>1.4E-2</v>
      </c>
    </row>
    <row r="124" spans="2:17" ht="15.75" x14ac:dyDescent="0.25">
      <c r="B124" s="306">
        <v>2018</v>
      </c>
      <c r="C124" s="308">
        <v>0.12820000000000001</v>
      </c>
      <c r="N124" s="382">
        <f t="shared" si="2"/>
        <v>40544.75</v>
      </c>
      <c r="O124" s="388" t="s">
        <v>244</v>
      </c>
      <c r="P124" s="391" t="s">
        <v>227</v>
      </c>
      <c r="Q124" s="389" t="s">
        <v>245</v>
      </c>
    </row>
    <row r="125" spans="2:17" ht="15.75" x14ac:dyDescent="0.25">
      <c r="B125" s="306">
        <v>2019</v>
      </c>
      <c r="C125" s="308">
        <v>0.12820000000000001</v>
      </c>
      <c r="N125" s="382">
        <f>N124-365</f>
        <v>40179.75</v>
      </c>
      <c r="O125" s="388" t="s">
        <v>246</v>
      </c>
      <c r="P125" s="391" t="s">
        <v>227</v>
      </c>
      <c r="Q125" s="389" t="s">
        <v>247</v>
      </c>
    </row>
    <row r="126" spans="2:17" ht="16.5" thickBot="1" x14ac:dyDescent="0.3">
      <c r="B126" s="309">
        <v>2020</v>
      </c>
      <c r="C126" s="311">
        <v>0.1229</v>
      </c>
      <c r="N126" s="382">
        <f>N125-365</f>
        <v>39814.75</v>
      </c>
      <c r="O126" s="388" t="s">
        <v>250</v>
      </c>
      <c r="P126" s="391" t="s">
        <v>227</v>
      </c>
      <c r="Q126" s="389" t="s">
        <v>251</v>
      </c>
    </row>
    <row r="127" spans="2:17" ht="16.5" thickTop="1" x14ac:dyDescent="0.25">
      <c r="N127" s="382">
        <f>N126-366</f>
        <v>39448.75</v>
      </c>
      <c r="O127" s="388" t="s">
        <v>254</v>
      </c>
      <c r="P127" s="391" t="s">
        <v>227</v>
      </c>
      <c r="Q127" s="389" t="s">
        <v>255</v>
      </c>
    </row>
    <row r="128" spans="2:17" ht="15.75" x14ac:dyDescent="0.25">
      <c r="N128" s="382">
        <f>N127-365</f>
        <v>39083.75</v>
      </c>
      <c r="O128" s="388" t="s">
        <v>256</v>
      </c>
      <c r="P128" s="391" t="s">
        <v>227</v>
      </c>
      <c r="Q128" s="389" t="s">
        <v>257</v>
      </c>
    </row>
    <row r="129" spans="4:17" ht="15.75" x14ac:dyDescent="0.25">
      <c r="N129" s="382">
        <f>N128-365</f>
        <v>38718.75</v>
      </c>
      <c r="O129" s="388" t="s">
        <v>236</v>
      </c>
      <c r="P129" s="391" t="s">
        <v>227</v>
      </c>
      <c r="Q129" s="389" t="s">
        <v>259</v>
      </c>
    </row>
    <row r="130" spans="4:17" ht="15.75" x14ac:dyDescent="0.25">
      <c r="N130" s="382">
        <f>N129-365</f>
        <v>38353.75</v>
      </c>
      <c r="O130" s="388" t="s">
        <v>244</v>
      </c>
      <c r="P130" s="391" t="s">
        <v>227</v>
      </c>
      <c r="Q130" s="389" t="s">
        <v>245</v>
      </c>
    </row>
    <row r="131" spans="4:17" ht="15.75" x14ac:dyDescent="0.25">
      <c r="N131" s="382">
        <f>N130-366</f>
        <v>37987.75</v>
      </c>
      <c r="O131" s="388" t="s">
        <v>262</v>
      </c>
      <c r="P131" s="391" t="s">
        <v>247</v>
      </c>
      <c r="Q131" s="389" t="s">
        <v>226</v>
      </c>
    </row>
    <row r="132" spans="4:17" ht="15.75" x14ac:dyDescent="0.25">
      <c r="N132" s="382">
        <f>N131-365</f>
        <v>37622.75</v>
      </c>
      <c r="O132" s="388" t="s">
        <v>226</v>
      </c>
      <c r="P132" s="391" t="s">
        <v>227</v>
      </c>
      <c r="Q132" s="389" t="s">
        <v>263</v>
      </c>
    </row>
    <row r="133" spans="4:17" ht="15.75" x14ac:dyDescent="0.25">
      <c r="N133" s="382">
        <f>N132-365</f>
        <v>37257.75</v>
      </c>
      <c r="O133" s="388" t="s">
        <v>264</v>
      </c>
      <c r="P133" s="391" t="s">
        <v>227</v>
      </c>
      <c r="Q133" s="389" t="s">
        <v>234</v>
      </c>
    </row>
    <row r="134" spans="4:17" ht="16.5" thickBot="1" x14ac:dyDescent="0.3">
      <c r="N134" s="382">
        <f>N133-365</f>
        <v>36892.75</v>
      </c>
      <c r="O134" s="388" t="s">
        <v>250</v>
      </c>
      <c r="P134" s="391" t="s">
        <v>227</v>
      </c>
      <c r="Q134" s="396" t="s">
        <v>251</v>
      </c>
    </row>
    <row r="135" spans="4:17" ht="16.5" thickTop="1" x14ac:dyDescent="0.25">
      <c r="N135" s="382">
        <f>N134-366</f>
        <v>36526.75</v>
      </c>
      <c r="O135" s="388" t="s">
        <v>226</v>
      </c>
      <c r="P135" s="389" t="s">
        <v>227</v>
      </c>
      <c r="Q135" s="373"/>
    </row>
    <row r="136" spans="4:17" ht="15.75" x14ac:dyDescent="0.25">
      <c r="N136" s="382">
        <f>N135-365</f>
        <v>36161.75</v>
      </c>
      <c r="O136" s="388" t="s">
        <v>231</v>
      </c>
      <c r="P136" s="389" t="s">
        <v>227</v>
      </c>
      <c r="Q136" s="373"/>
    </row>
    <row r="137" spans="4:17" ht="15.75" x14ac:dyDescent="0.25">
      <c r="N137" s="382">
        <f>N136-365</f>
        <v>35796.75</v>
      </c>
      <c r="O137" s="388" t="s">
        <v>233</v>
      </c>
      <c r="P137" s="389" t="s">
        <v>227</v>
      </c>
      <c r="Q137" s="373"/>
    </row>
    <row r="138" spans="4:17" ht="15.75" x14ac:dyDescent="0.25">
      <c r="N138" s="382">
        <f>N137-365</f>
        <v>35431.75</v>
      </c>
      <c r="O138" s="388" t="s">
        <v>234</v>
      </c>
      <c r="P138" s="389" t="s">
        <v>227</v>
      </c>
      <c r="Q138" s="373"/>
    </row>
    <row r="139" spans="4:17" ht="15.75" x14ac:dyDescent="0.25">
      <c r="N139" s="382">
        <f>N138-366</f>
        <v>35065.75</v>
      </c>
      <c r="O139" s="388" t="s">
        <v>236</v>
      </c>
      <c r="P139" s="389" t="s">
        <v>227</v>
      </c>
      <c r="Q139" s="373"/>
    </row>
    <row r="140" spans="4:17" ht="15.75" x14ac:dyDescent="0.25">
      <c r="N140" s="382">
        <f>N139-365</f>
        <v>34700.75</v>
      </c>
      <c r="O140" s="388" t="s">
        <v>227</v>
      </c>
      <c r="P140" s="389" t="s">
        <v>227</v>
      </c>
      <c r="Q140" s="373"/>
    </row>
    <row r="141" spans="4:17" ht="17.25" x14ac:dyDescent="0.25">
      <c r="D141" s="411" t="s">
        <v>179</v>
      </c>
      <c r="E141" s="398"/>
      <c r="N141" s="382">
        <f>N140-365</f>
        <v>34335.75</v>
      </c>
      <c r="O141" s="388" t="s">
        <v>233</v>
      </c>
      <c r="P141" s="389" t="s">
        <v>227</v>
      </c>
      <c r="Q141" s="373"/>
    </row>
    <row r="142" spans="4:17" ht="19.5" customHeight="1" x14ac:dyDescent="0.25">
      <c r="D142" s="412" t="s">
        <v>180</v>
      </c>
      <c r="E142" s="399"/>
      <c r="F142" s="398"/>
      <c r="G142" s="398"/>
      <c r="H142" s="398"/>
      <c r="I142" s="398"/>
      <c r="J142" s="398"/>
      <c r="K142" s="398"/>
      <c r="L142" s="398"/>
      <c r="N142" s="382">
        <f>N141-365</f>
        <v>33970.75</v>
      </c>
      <c r="O142" s="388" t="s">
        <v>240</v>
      </c>
      <c r="P142" s="389" t="s">
        <v>227</v>
      </c>
      <c r="Q142" s="373"/>
    </row>
    <row r="143" spans="4:17" ht="15.75" customHeight="1" x14ac:dyDescent="0.25">
      <c r="D143" s="399"/>
      <c r="E143" s="399"/>
      <c r="F143" s="399"/>
      <c r="G143" s="399"/>
      <c r="H143" s="399"/>
      <c r="I143" s="399"/>
      <c r="J143" s="399"/>
      <c r="K143" s="399"/>
      <c r="L143" s="399"/>
      <c r="N143" s="382">
        <f>N142-366</f>
        <v>33604.75</v>
      </c>
      <c r="O143" s="388" t="s">
        <v>241</v>
      </c>
      <c r="P143" s="389" t="s">
        <v>242</v>
      </c>
      <c r="Q143" s="373"/>
    </row>
    <row r="144" spans="4:17" ht="15.75" x14ac:dyDescent="0.25">
      <c r="D144" s="399"/>
      <c r="E144" s="399"/>
      <c r="F144" s="399"/>
      <c r="G144" s="399"/>
      <c r="H144" s="399"/>
      <c r="I144" s="399"/>
      <c r="J144" s="399"/>
      <c r="K144" s="399"/>
      <c r="L144" s="399"/>
      <c r="N144" s="382">
        <f>N143-365</f>
        <v>33239.75</v>
      </c>
      <c r="O144" s="388" t="s">
        <v>243</v>
      </c>
      <c r="P144" s="389" t="s">
        <v>240</v>
      </c>
      <c r="Q144" s="373"/>
    </row>
    <row r="145" spans="4:17" ht="15.75" x14ac:dyDescent="0.25">
      <c r="D145" s="399"/>
      <c r="E145" s="399"/>
      <c r="F145" s="399"/>
      <c r="G145" s="399"/>
      <c r="H145" s="399"/>
      <c r="I145" s="399"/>
      <c r="J145" s="399"/>
      <c r="K145" s="399"/>
      <c r="L145" s="399"/>
      <c r="N145" s="382">
        <f>N144-365</f>
        <v>32874.75</v>
      </c>
      <c r="O145" s="388" t="s">
        <v>243</v>
      </c>
      <c r="P145" s="389" t="s">
        <v>240</v>
      </c>
      <c r="Q145" s="373"/>
    </row>
    <row r="146" spans="4:17" ht="15.75" x14ac:dyDescent="0.25">
      <c r="D146" s="399"/>
      <c r="E146" s="399"/>
      <c r="F146" s="399"/>
      <c r="G146" s="399"/>
      <c r="H146" s="399"/>
      <c r="I146" s="399"/>
      <c r="J146" s="399"/>
      <c r="K146" s="399"/>
      <c r="L146" s="399"/>
      <c r="N146" s="382">
        <f>N145-365</f>
        <v>32509.75</v>
      </c>
      <c r="O146" s="388" t="s">
        <v>248</v>
      </c>
      <c r="P146" s="389" t="s">
        <v>249</v>
      </c>
      <c r="Q146" s="373"/>
    </row>
    <row r="147" spans="4:17" ht="15.75" x14ac:dyDescent="0.25">
      <c r="D147" s="399"/>
      <c r="E147" s="399"/>
      <c r="F147" s="399"/>
      <c r="G147" s="399"/>
      <c r="H147" s="399"/>
      <c r="I147" s="399"/>
      <c r="J147" s="399"/>
      <c r="K147" s="399"/>
      <c r="L147" s="399"/>
      <c r="N147" s="382">
        <f>N146-366</f>
        <v>32143.75</v>
      </c>
      <c r="O147" s="388" t="s">
        <v>252</v>
      </c>
      <c r="P147" s="389" t="s">
        <v>253</v>
      </c>
      <c r="Q147" s="373"/>
    </row>
    <row r="148" spans="4:17" ht="15.75" x14ac:dyDescent="0.25">
      <c r="D148" s="399"/>
      <c r="E148" s="399"/>
      <c r="F148" s="399"/>
      <c r="G148" s="399"/>
      <c r="H148" s="399"/>
      <c r="I148" s="399"/>
      <c r="J148" s="399"/>
      <c r="K148" s="399"/>
      <c r="L148" s="399"/>
      <c r="N148" s="382">
        <f>N147-365</f>
        <v>31778.75</v>
      </c>
      <c r="O148" s="388" t="s">
        <v>248</v>
      </c>
      <c r="P148" s="389" t="s">
        <v>249</v>
      </c>
      <c r="Q148" s="373"/>
    </row>
    <row r="149" spans="4:17" ht="15.75" x14ac:dyDescent="0.25">
      <c r="D149" s="399"/>
      <c r="E149" s="399"/>
      <c r="F149" s="399"/>
      <c r="G149" s="399"/>
      <c r="H149" s="399"/>
      <c r="I149" s="399"/>
      <c r="J149" s="399"/>
      <c r="K149" s="399"/>
      <c r="L149" s="399"/>
      <c r="N149" s="382">
        <f>N148-365</f>
        <v>31413.75</v>
      </c>
      <c r="O149" s="388" t="s">
        <v>258</v>
      </c>
      <c r="P149" s="389" t="s">
        <v>255</v>
      </c>
      <c r="Q149" s="373"/>
    </row>
    <row r="150" spans="4:17" ht="15.75" x14ac:dyDescent="0.25">
      <c r="D150" s="5" t="s">
        <v>181</v>
      </c>
      <c r="F150" s="399"/>
      <c r="G150" s="399"/>
      <c r="H150" s="399"/>
      <c r="I150" s="399"/>
      <c r="J150" s="399"/>
      <c r="K150" s="399"/>
      <c r="L150" s="399"/>
      <c r="N150" s="382">
        <f>N149-365</f>
        <v>31048.75</v>
      </c>
      <c r="O150" s="388" t="s">
        <v>252</v>
      </c>
      <c r="P150" s="389" t="s">
        <v>253</v>
      </c>
      <c r="Q150" s="373"/>
    </row>
    <row r="151" spans="4:17" ht="15.75" x14ac:dyDescent="0.25">
      <c r="N151" s="382">
        <f>N150-366</f>
        <v>30682.75</v>
      </c>
      <c r="O151" s="388" t="s">
        <v>260</v>
      </c>
      <c r="P151" s="389" t="s">
        <v>261</v>
      </c>
      <c r="Q151" s="373"/>
    </row>
    <row r="152" spans="4:17" ht="16.5" thickBot="1" x14ac:dyDescent="0.3">
      <c r="N152" s="382">
        <f>N151-365</f>
        <v>30317.75</v>
      </c>
      <c r="O152" s="388" t="s">
        <v>238</v>
      </c>
      <c r="P152" s="396" t="s">
        <v>237</v>
      </c>
      <c r="Q152" s="373"/>
    </row>
    <row r="153" spans="4:17" ht="16.5" thickTop="1" x14ac:dyDescent="0.25">
      <c r="N153" s="382">
        <f>N152-365</f>
        <v>29952.75</v>
      </c>
      <c r="O153" s="387" t="s">
        <v>225</v>
      </c>
      <c r="P153" s="373"/>
      <c r="Q153" s="373"/>
    </row>
    <row r="154" spans="4:17" ht="15.75" x14ac:dyDescent="0.25">
      <c r="N154" s="382">
        <f>N153-365</f>
        <v>29587.75</v>
      </c>
      <c r="O154" s="387" t="s">
        <v>230</v>
      </c>
      <c r="P154" s="373"/>
      <c r="Q154" s="373"/>
    </row>
    <row r="155" spans="4:17" ht="15.75" x14ac:dyDescent="0.25">
      <c r="N155" s="382">
        <f>N154-366</f>
        <v>29221.75</v>
      </c>
      <c r="O155" s="387" t="s">
        <v>232</v>
      </c>
      <c r="P155" s="373"/>
      <c r="Q155" s="373"/>
    </row>
    <row r="156" spans="4:17" ht="15.75" x14ac:dyDescent="0.25">
      <c r="N156" s="382">
        <f>N155-365</f>
        <v>28856.75</v>
      </c>
      <c r="O156" s="387" t="s">
        <v>232</v>
      </c>
      <c r="P156" s="373"/>
      <c r="Q156" s="373"/>
    </row>
    <row r="157" spans="4:17" ht="15.75" x14ac:dyDescent="0.25">
      <c r="N157" s="382">
        <f>N156-365</f>
        <v>28491.75</v>
      </c>
      <c r="O157" s="387" t="s">
        <v>235</v>
      </c>
      <c r="P157" s="373"/>
      <c r="Q157" s="373"/>
    </row>
    <row r="158" spans="4:17" ht="15.75" x14ac:dyDescent="0.25">
      <c r="N158" s="382">
        <f>N157-365</f>
        <v>28126.75</v>
      </c>
      <c r="O158" s="387" t="s">
        <v>237</v>
      </c>
      <c r="P158" s="373"/>
      <c r="Q158" s="373"/>
    </row>
    <row r="159" spans="4:17" ht="15.75" x14ac:dyDescent="0.25">
      <c r="N159" s="382">
        <f>N158-366</f>
        <v>27760.75</v>
      </c>
      <c r="O159" s="387" t="s">
        <v>238</v>
      </c>
      <c r="P159" s="373"/>
      <c r="Q159" s="373"/>
    </row>
    <row r="160" spans="4:17" ht="15.75" x14ac:dyDescent="0.25">
      <c r="N160" s="382">
        <f>N159-365</f>
        <v>27395.75</v>
      </c>
      <c r="O160" s="387" t="s">
        <v>239</v>
      </c>
      <c r="P160" s="373"/>
      <c r="Q160" s="373"/>
    </row>
    <row r="161" spans="14:17" ht="16.5" thickBot="1" x14ac:dyDescent="0.3">
      <c r="N161" s="393">
        <f>N160-365</f>
        <v>27030.75</v>
      </c>
      <c r="O161" s="394" t="s">
        <v>237</v>
      </c>
      <c r="P161" s="373"/>
      <c r="Q161" s="373"/>
    </row>
    <row r="162" spans="14:17" ht="15.75" thickTop="1" x14ac:dyDescent="0.25"/>
  </sheetData>
  <mergeCells count="14">
    <mergeCell ref="AK52:AK62"/>
    <mergeCell ref="AK46:AK47"/>
    <mergeCell ref="AL46:AL47"/>
    <mergeCell ref="AK48:AK49"/>
    <mergeCell ref="AL48:AL49"/>
    <mergeCell ref="AK50:AK51"/>
    <mergeCell ref="AL50:AL51"/>
    <mergeCell ref="L5:P5"/>
    <mergeCell ref="AO16:AO17"/>
    <mergeCell ref="AJ16:AJ17"/>
    <mergeCell ref="AK16:AK17"/>
    <mergeCell ref="AL16:AL17"/>
    <mergeCell ref="AM16:AM17"/>
    <mergeCell ref="AN16:AN17"/>
  </mergeCells>
  <hyperlinks>
    <hyperlink ref="D150" r:id="rId1" xr:uid="{0ABE2A98-4FBF-4476-9F8F-F6071FD24A04}"/>
    <hyperlink ref="U8" r:id="rId2" location="45" xr:uid="{44C3CB4D-1DDA-4A5D-8A0A-9ECB6DD82A60}"/>
  </hyperlinks>
  <pageMargins left="0.7" right="0.7" top="0.75" bottom="0.75" header="0.3" footer="0.3"/>
  <pageSetup orientation="portrait" r:id="rId3"/>
  <ignoredErrors>
    <ignoredError sqref="N114:N159" formula="1"/>
    <ignoredError sqref="AA11:AD30" evalError="1"/>
  </ignoredErrors>
  <drawing r:id="rId4"/>
  <tableParts count="1">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dimension ref="B1:D20"/>
  <sheetViews>
    <sheetView topLeftCell="B1" workbookViewId="0">
      <selection activeCell="B1" sqref="B1"/>
    </sheetView>
  </sheetViews>
  <sheetFormatPr baseColWidth="10" defaultRowHeight="15" x14ac:dyDescent="0.25"/>
  <sheetData>
    <row r="1" spans="2:4" x14ac:dyDescent="0.25">
      <c r="B1" s="50" t="s">
        <v>21</v>
      </c>
    </row>
    <row r="7" spans="2:4" x14ac:dyDescent="0.25">
      <c r="D7" s="48"/>
    </row>
    <row r="9" spans="2:4" x14ac:dyDescent="0.25">
      <c r="D9" s="48"/>
    </row>
    <row r="10" spans="2:4" x14ac:dyDescent="0.25">
      <c r="D10" s="48"/>
    </row>
    <row r="11" spans="2:4" x14ac:dyDescent="0.25">
      <c r="D11" s="48"/>
    </row>
    <row r="12" spans="2:4" x14ac:dyDescent="0.25">
      <c r="D12" s="48"/>
    </row>
    <row r="16" spans="2:4" x14ac:dyDescent="0.25">
      <c r="D16" s="48"/>
    </row>
    <row r="20" spans="4:4" x14ac:dyDescent="0.25">
      <c r="D20" s="48"/>
    </row>
  </sheetData>
  <dataValidations count="1">
    <dataValidation type="custom" allowBlank="1" showInputMessage="1" showErrorMessage="1" errorTitle="ATTENTION" error="Ce champs est réservé" promptTitle="Attention ce champs est réservé" prompt="Attention ce champs est réservé" sqref="B1" xr:uid="{00000000-0002-0000-0600-000000000000}">
      <formula1>"Daniel Légaré"</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25</vt:i4>
      </vt:variant>
    </vt:vector>
  </HeadingPairs>
  <TitlesOfParts>
    <vt:vector size="32" baseType="lpstr">
      <vt:lpstr>Utilisation</vt:lpstr>
      <vt:lpstr>Rente_approximative</vt:lpstr>
      <vt:lpstr>Indexation</vt:lpstr>
      <vt:lpstr>RRQ</vt:lpstr>
      <vt:lpstr>Salaires_10_20</vt:lpstr>
      <vt:lpstr>PP</vt:lpstr>
      <vt:lpstr>Sign</vt:lpstr>
      <vt:lpstr>_35__du_MGA</vt:lpstr>
      <vt:lpstr>Admissibilite</vt:lpstr>
      <vt:lpstr>Admissible_Oui_ou_Non</vt:lpstr>
      <vt:lpstr>Age_Ret</vt:lpstr>
      <vt:lpstr>Critère_retenu</vt:lpstr>
      <vt:lpstr>Date_Naissance</vt:lpstr>
      <vt:lpstr>Date_retraite</vt:lpstr>
      <vt:lpstr>Date_salaire_colonne</vt:lpstr>
      <vt:lpstr>Echelon</vt:lpstr>
      <vt:lpstr>Estimation</vt:lpstr>
      <vt:lpstr>Estimation_sans_réduction</vt:lpstr>
      <vt:lpstr>Exemption</vt:lpstr>
      <vt:lpstr>Facteur_de_réduction</vt:lpstr>
      <vt:lpstr>MGA</vt:lpstr>
      <vt:lpstr>Moyenne_automatique</vt:lpstr>
      <vt:lpstr>Moyenne_manuelle</vt:lpstr>
      <vt:lpstr>Moyenne_salariale</vt:lpstr>
      <vt:lpstr>Naissance</vt:lpstr>
      <vt:lpstr>Reduction</vt:lpstr>
      <vt:lpstr>Reduction_en_dollars</vt:lpstr>
      <vt:lpstr>Salaire_10_20</vt:lpstr>
      <vt:lpstr>Service</vt:lpstr>
      <vt:lpstr>Services_calcul</vt:lpstr>
      <vt:lpstr>TAIR</vt:lpstr>
      <vt:lpstr>Taux_de_cotisation</vt:lpstr>
    </vt:vector>
  </TitlesOfParts>
  <Company>CSN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Légaré</dc:creator>
  <cp:lastModifiedBy>Sylvie Patenaude</cp:lastModifiedBy>
  <dcterms:created xsi:type="dcterms:W3CDTF">2015-01-12T13:21:17Z</dcterms:created>
  <dcterms:modified xsi:type="dcterms:W3CDTF">2021-03-04T14:45:39Z</dcterms:modified>
</cp:coreProperties>
</file>